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2150" yWindow="1335" windowWidth="12210" windowHeight="10860" tabRatio="940" firstSheet="1" activeTab="1"/>
  </bookViews>
  <sheets>
    <sheet name="READ ME" sheetId="3" r:id="rId1"/>
    <sheet name="BMPs Summary" sheetId="2" r:id="rId2"/>
    <sheet name="Assumptions" sheetId="12" r:id="rId3"/>
    <sheet name="Dry Ext Detention" sheetId="32" r:id="rId4"/>
    <sheet name="Dry Detention-Hydro Structures" sheetId="49" r:id="rId5"/>
    <sheet name="Erosion and Sediment Control" sheetId="36" r:id="rId6"/>
    <sheet name="Filtering Practices" sheetId="25" r:id="rId7"/>
    <sheet name="Wetlands-Wet Ponds" sheetId="7" r:id="rId8"/>
    <sheet name="Infiltration" sheetId="24" r:id="rId9"/>
    <sheet name="Nutrient Mgmt" sheetId="22" r:id="rId10"/>
    <sheet name="Tree Planting" sheetId="56" r:id="rId11"/>
    <sheet name="Growth Red" sheetId="50" r:id="rId12"/>
    <sheet name="Stream Restoration" sheetId="26" r:id="rId13"/>
    <sheet name="Forest Buffers" sheetId="28" r:id="rId14"/>
    <sheet name="Grass Buffers" sheetId="53" r:id="rId15"/>
    <sheet name="Street Sweeping" sheetId="54" r:id="rId16"/>
    <sheet name="Impervious Surface Reduc" sheetId="27" r:id="rId17"/>
    <sheet name="Forest Conservation" sheetId="23" r:id="rId18"/>
    <sheet name="Retrofit SW Mgmt" sheetId="34" r:id="rId19"/>
    <sheet name="Vegetated Channel" sheetId="62" r:id="rId20"/>
    <sheet name="Bioretention" sheetId="33" r:id="rId21"/>
    <sheet name="Bioswale" sheetId="47" r:id="rId22"/>
    <sheet name="CSO Separation" sheetId="61" r:id="rId23"/>
  </sheets>
  <externalReferences>
    <externalReference r:id="rId24"/>
  </externalReferences>
  <definedNames>
    <definedName name="A">'Erosion and Sediment Control'!$D$16</definedName>
    <definedName name="Annual_rate">Assumptions!$H$24</definedName>
    <definedName name="BIORETENTION">Bioretention!$C$14:$E$21</definedName>
    <definedName name="BIOSWALE">Bioswale!$C$14:$E$21</definedName>
    <definedName name="CCI_1990">Assumptions!$C$4</definedName>
    <definedName name="CCI_1991">Assumptions!$C$5</definedName>
    <definedName name="CCI_1992">Assumptions!$C$6</definedName>
    <definedName name="CCI_1993">Assumptions!$C$7</definedName>
    <definedName name="CCI_1994">Assumptions!$C$8</definedName>
    <definedName name="CCI_1995">Assumptions!$C$9</definedName>
    <definedName name="CCI_1996">Assumptions!$C$10</definedName>
    <definedName name="CCI_1997">Assumptions!$C$11</definedName>
    <definedName name="CCI_1998">Assumptions!$C$12</definedName>
    <definedName name="CCI_1999">Assumptions!$C$13</definedName>
    <definedName name="CCI_2000">Assumptions!$C$14</definedName>
    <definedName name="CCI_2001">Assumptions!$C$15</definedName>
    <definedName name="CCI_2002">Assumptions!$C$16</definedName>
    <definedName name="CCI_2003">Assumptions!$C$17</definedName>
    <definedName name="CCI_2004">Assumptions!$C$18</definedName>
    <definedName name="CCI_2005">Assumptions!$C$19</definedName>
    <definedName name="CCI_2006">Assumptions!$C$20</definedName>
    <definedName name="CCI_2007">Assumptions!$C$21</definedName>
    <definedName name="CCI_2008">Assumptions!$C$22</definedName>
    <definedName name="CCI_2009">Assumptions!$C$23</definedName>
    <definedName name="CCI_2010">Assumptions!$C$24</definedName>
    <definedName name="CSO_Separation">'CSO Separation'!$B$8</definedName>
    <definedName name="DC_Impervious">Assumptions!$H$3</definedName>
    <definedName name="DDEDB_DC">'Dry Ext Detention'!#REF!</definedName>
    <definedName name="DDEDB_DE">'Dry Ext Detention'!#REF!</definedName>
    <definedName name="DDEDB_MD">'Dry Ext Detention'!#REF!</definedName>
    <definedName name="DDEDB_NY">'Dry Ext Detention'!#REF!</definedName>
    <definedName name="DDEDB_PA">'Dry Ext Detention'!#REF!</definedName>
    <definedName name="DDEDB_VA">'Dry Ext Detention'!#REF!</definedName>
    <definedName name="DDEDB_Watershed">'Dry Ext Detention'!#REF!</definedName>
    <definedName name="DDEDB_WV">'Dry Ext Detention'!#REF!</definedName>
    <definedName name="DDPHS_DC">'Dry Detention-Hydro Structures'!$E$19</definedName>
    <definedName name="DDPHS_DE">'Dry Detention-Hydro Structures'!$E$20</definedName>
    <definedName name="DDPHS_MD">'Dry Detention-Hydro Structures'!$E$21</definedName>
    <definedName name="DDPHS_NY">'Dry Detention-Hydro Structures'!$E$22</definedName>
    <definedName name="DDPHS_PA">'Dry Detention-Hydro Structures'!$E$23</definedName>
    <definedName name="DDPHS_VA">'Dry Detention-Hydro Structures'!$E$24</definedName>
    <definedName name="DDPHS_Watershed">'Dry Detention-Hydro Structures'!$E$18</definedName>
    <definedName name="DDPHS_WV">'Dry Detention-Hydro Structures'!$E$25</definedName>
    <definedName name="DE_Buffer_ARR">'[1]Opportuniy Cost'!$E$4</definedName>
    <definedName name="DE_Impervious">Assumptions!$H$4</definedName>
    <definedName name="DRY_DETENTION">'Dry Ext Detention'!$C$14:$E$21</definedName>
    <definedName name="FEET_IMPAC">Assumptions!$H$22</definedName>
    <definedName name="FILTERING">'Filtering Practices'!$C$14:$E$21</definedName>
    <definedName name="HIGH_DE">Assumptions!$B$27</definedName>
    <definedName name="HIGH_OM">Assumptions!$B$32</definedName>
    <definedName name="IMPERVIOUS">'Impervious Surface Reduc'!$C$13:$E$20</definedName>
    <definedName name="INFILTRATION">Infiltration!$C$15:$E$22</definedName>
    <definedName name="ISR_DC">'Impervious Surface Reduc'!#REF!</definedName>
    <definedName name="ISR_DE">'Impervious Surface Reduc'!#REF!</definedName>
    <definedName name="ISR_MD">'Impervious Surface Reduc'!#REF!</definedName>
    <definedName name="ISR_NY">'Impervious Surface Reduc'!#REF!</definedName>
    <definedName name="ISR_PA">'Impervious Surface Reduc'!#REF!</definedName>
    <definedName name="ISR_VA">'Impervious Surface Reduc'!#REF!</definedName>
    <definedName name="ISR_Watershed">'Impervious Surface Reduc'!#REF!</definedName>
    <definedName name="ISR_WV">'Impervious Surface Reduc'!#REF!</definedName>
    <definedName name="Land_Cost_DC">Assumptions!$H$13</definedName>
    <definedName name="Land_Cost_DE">Assumptions!$H$14</definedName>
    <definedName name="Land_Cost_MD">Assumptions!$H$15</definedName>
    <definedName name="Land_Cost_NY">Assumptions!$H$16</definedName>
    <definedName name="Land_Cost_PA">Assumptions!$H$17</definedName>
    <definedName name="Land_Cost_VA">Assumptions!$H$18</definedName>
    <definedName name="Land_Cost_Watershed">Assumptions!$H$12</definedName>
    <definedName name="Land_Cost_WV">Assumptions!$H$19</definedName>
    <definedName name="LOW_DE">Assumptions!$B$26</definedName>
    <definedName name="LOW_OM">Assumptions!$B$30</definedName>
    <definedName name="MD_HiErode_ARR">'[1]Opportuniy Cost'!$E$11</definedName>
    <definedName name="MD_Impervious">Assumptions!$H$5</definedName>
    <definedName name="MED_OM">Assumptions!$B$31</definedName>
    <definedName name="MID_DE">Assumptions!$B$28</definedName>
    <definedName name="NY_Impervious">Assumptions!$H$6</definedName>
    <definedName name="OM_High">Assumptions!$B$42</definedName>
    <definedName name="OM_High_2">Assumptions!$B$41</definedName>
    <definedName name="OM_Intermittent_High">Assumptions!$B$51</definedName>
    <definedName name="OM_Intermittent_Low">Assumptions!$B$50</definedName>
    <definedName name="OM_Intermittent_Med">Assumptions!$B$49</definedName>
    <definedName name="OM_Low">Assumptions!$B$48</definedName>
    <definedName name="OM_Low_2">Assumptions!$B$44</definedName>
    <definedName name="OM_Low_3">Assumptions!$B$45</definedName>
    <definedName name="OM_Low_4">Assumptions!$B$46</definedName>
    <definedName name="OM_Low_5">Assumptions!$B$47</definedName>
    <definedName name="OM_MED">Assumptions!$B$43</definedName>
    <definedName name="PA_HiErode_ARR">'[1]Opportuniy Cost'!$E$19</definedName>
    <definedName name="PA_Impervious">Assumptions!$H$7</definedName>
    <definedName name="Pre_Construction_Cost_1">Assumptions!$B$52</definedName>
    <definedName name="Pre_Construction_Cost_2">Assumptions!$B$53</definedName>
    <definedName name="Pre_Construction_Cost_3">Assumptions!$B$54</definedName>
    <definedName name="Pre_Construction_Cost_4">Assumptions!$B$55</definedName>
    <definedName name="Pre_Construction_Cost_5">Assumptions!$B$56</definedName>
    <definedName name="Pre_Construction_Cost_6">Assumptions!$B$57</definedName>
    <definedName name="Project_Acres_Developable">Assumptions!$H$20</definedName>
    <definedName name="RSWM_Cap_MD">'Retrofit SW Mgmt'!$F$22</definedName>
    <definedName name="RSWM_DC">'Retrofit SW Mgmt'!#REF!</definedName>
    <definedName name="RSWM_DE">'Retrofit SW Mgmt'!#REF!</definedName>
    <definedName name="RSWM_Land_MD">'Retrofit SW Mgmt'!$F$25</definedName>
    <definedName name="RSWM_MD">'Retrofit SW Mgmt'!$F$19</definedName>
    <definedName name="RSWM_NY">'Retrofit SW Mgmt'!#REF!</definedName>
    <definedName name="RSWM_OM_MD">'Retrofit SW Mgmt'!$F$28</definedName>
    <definedName name="RSWM_PA">'Retrofit SW Mgmt'!#REF!</definedName>
    <definedName name="RSWM_VA">'Retrofit SW Mgmt'!#REF!</definedName>
    <definedName name="RSWM_Watershed">'Retrofit SW Mgmt'!#REF!</definedName>
    <definedName name="RSWM_WV">'Retrofit SW Mgmt'!#REF!</definedName>
    <definedName name="SS_DC">'Street Sweeping'!#REF!</definedName>
    <definedName name="SS_DE">'Street Sweeping'!#REF!</definedName>
    <definedName name="SS_MD">'Street Sweeping'!#REF!</definedName>
    <definedName name="SS_NY">'Street Sweeping'!#REF!</definedName>
    <definedName name="SS_PA">'Street Sweeping'!#REF!</definedName>
    <definedName name="SS_VA">'Street Sweeping'!#REF!</definedName>
    <definedName name="SS_Watershed">'Street Sweeping'!$B$14</definedName>
    <definedName name="SS_WV">'Street Sweeping'!#REF!</definedName>
    <definedName name="TP_Cap_DE">'Tree Planting'!$C$39</definedName>
    <definedName name="TP_Cap_MD">'Tree Planting'!$D$39</definedName>
    <definedName name="TP_Cap_PA">'Tree Planting'!$E$39</definedName>
    <definedName name="TP_Cap_VA">'Tree Planting'!$F$39</definedName>
    <definedName name="TP_Cap_Watershed">'Tree Planting'!$G$39</definedName>
    <definedName name="TP_Cap_WV">'Tree Planting'!$B$39</definedName>
    <definedName name="TP_DE">'Tree Planting'!$C$41</definedName>
    <definedName name="TP_MD">'Tree Planting'!$D$41</definedName>
    <definedName name="TP_PA">'Tree Planting'!$E$41</definedName>
    <definedName name="TP_VA">'Tree Planting'!$F$41</definedName>
    <definedName name="TP_Watershed">'Tree Planting'!$G$41</definedName>
    <definedName name="TP_WV">'Tree Planting'!$B$41</definedName>
    <definedName name="UESC_DC">'Erosion and Sediment Control'!$C$15</definedName>
    <definedName name="UESC_DE">'Erosion and Sediment Control'!$C$16</definedName>
    <definedName name="UESC_MD">'Erosion and Sediment Control'!$C$17</definedName>
    <definedName name="UESC_NY">'Erosion and Sediment Control'!$C$18</definedName>
    <definedName name="UESC_PA">'Erosion and Sediment Control'!$C$19</definedName>
    <definedName name="UESC_VA">'Erosion and Sediment Control'!$C$20</definedName>
    <definedName name="UESC_Watershed">'Erosion and Sediment Control'!$C$14</definedName>
    <definedName name="UESC_WV">'Erosion and Sediment Control'!$C$21</definedName>
    <definedName name="UFB_Cap_DE">'Forest Buffers'!$H$12</definedName>
    <definedName name="UFB_Cap_MD">'Forest Buffers'!$F$12</definedName>
    <definedName name="UFB_Cap_NY">'Forest Buffers'!$D$12</definedName>
    <definedName name="UFB_Cap_PA">'Forest Buffers'!$E$12</definedName>
    <definedName name="UFB_Cap_VA">'Forest Buffers'!$G$12</definedName>
    <definedName name="UFB_Cap_Watershed">'Forest Buffers'!$I$12</definedName>
    <definedName name="UFB_DE">'Forest Buffers'!$H$15</definedName>
    <definedName name="UFB_MD">'Forest Buffers'!$F$15</definedName>
    <definedName name="UFB_NY">'Forest Buffers'!$D$15</definedName>
    <definedName name="UFB_OM_DE">'Forest Buffers'!$H$13</definedName>
    <definedName name="UFB_OM_MD">'Forest Buffers'!$F$13</definedName>
    <definedName name="UFB_OM_NY">'Forest Buffers'!$D$13</definedName>
    <definedName name="UFB_OM_PA">'Forest Buffers'!$E$13</definedName>
    <definedName name="UFB_OM_VA">'Forest Buffers'!$G$13</definedName>
    <definedName name="UFB_OM_Watershed">'Forest Buffers'!$I$13</definedName>
    <definedName name="UFB_PA">'Forest Buffers'!$E$15</definedName>
    <definedName name="UFB_VA">'Forest Buffers'!$G$15</definedName>
    <definedName name="UFB_Watershed">'Forest Buffers'!$I$15</definedName>
    <definedName name="UFP_DC">'Filtering Practices'!#REF!</definedName>
    <definedName name="UFP_DE">'Filtering Practices'!#REF!</definedName>
    <definedName name="UFP_MD">'Filtering Practices'!#REF!</definedName>
    <definedName name="UFP_NY">'Filtering Practices'!#REF!</definedName>
    <definedName name="UFP_PA">'Filtering Practices'!#REF!</definedName>
    <definedName name="UFP_VA">'Filtering Practices'!#REF!</definedName>
    <definedName name="UFP_Watershed">'Filtering Practices'!#REF!</definedName>
    <definedName name="UFP_WV">'Filtering Practices'!#REF!</definedName>
    <definedName name="UGB_Cap_DE">'Grass Buffers'!$G$9</definedName>
    <definedName name="UGB_Cap_MD">'Grass Buffers'!$F$9</definedName>
    <definedName name="UGB_Cap_NY">'Grass Buffers'!$B$9</definedName>
    <definedName name="UGB_Cap_PA">'Grass Buffers'!$C$9</definedName>
    <definedName name="UGB_Cap_VA">'Grass Buffers'!$E$9</definedName>
    <definedName name="UGB_Cap_Watershed">'Grass Buffers'!$H$9</definedName>
    <definedName name="UGB_Cap_WV">'Grass Buffers'!$D$9</definedName>
    <definedName name="UGB_DE">'Grass Buffers'!$G$12</definedName>
    <definedName name="UGB_MD">'Grass Buffers'!$F$12</definedName>
    <definedName name="UGB_NY">'Grass Buffers'!$B$12</definedName>
    <definedName name="UGB_OM_DE">'Grass Buffers'!$G$10</definedName>
    <definedName name="UGB_OM_MD">'Grass Buffers'!$F$10</definedName>
    <definedName name="UGB_OM_NY">'Grass Buffers'!$B$10</definedName>
    <definedName name="UGB_OM_PA">'Grass Buffers'!$C$10</definedName>
    <definedName name="UGB_OM_VA">'Grass Buffers'!$E$10</definedName>
    <definedName name="UGB_OM_Watershed">'Grass Buffers'!$H$10</definedName>
    <definedName name="UGB_OM_WV">'Grass Buffers'!$D$10</definedName>
    <definedName name="UGB_PA">'Grass Buffers'!$C$12</definedName>
    <definedName name="UGB_VA">'Grass Buffers'!$E$12</definedName>
    <definedName name="UGB_Watershed">'Grass Buffers'!$H$12</definedName>
    <definedName name="UGB_WV">'Grass Buffers'!$D$12</definedName>
    <definedName name="UGR_Watershed">'Growth Red'!$B$5</definedName>
    <definedName name="UIP_noSV_DC">Infiltration!#REF!</definedName>
    <definedName name="UIP_noSV_DE">Infiltration!#REF!</definedName>
    <definedName name="UIP_noSV_MD">Infiltration!#REF!</definedName>
    <definedName name="UIP_noSV_NY">Infiltration!#REF!</definedName>
    <definedName name="UIP_noSV_PA">Infiltration!#REF!</definedName>
    <definedName name="UIP_noSV_VA">Infiltration!#REF!</definedName>
    <definedName name="UIP_noSV_Watershed">Infiltration!#REF!</definedName>
    <definedName name="UIP_noSV_WV">Infiltration!#REF!</definedName>
    <definedName name="UIP_SV_DC">Infiltration!#REF!</definedName>
    <definedName name="UIP_SV_DE">Infiltration!#REF!</definedName>
    <definedName name="UIP_SV_MD">Infiltration!#REF!</definedName>
    <definedName name="UIP_SV_NY">Infiltration!#REF!</definedName>
    <definedName name="UIP_SV_PA">Infiltration!#REF!</definedName>
    <definedName name="UIP_SV_VA">Infiltration!#REF!</definedName>
    <definedName name="UIP_SV_Watershed">Infiltration!#REF!</definedName>
    <definedName name="UIP_SV_WV">Infiltration!#REF!</definedName>
    <definedName name="UNM_Watershed">'Nutrient Mgmt'!$B$3</definedName>
    <definedName name="USR_DC">'Stream Restoration'!#REF!</definedName>
    <definedName name="USR_DE">'Stream Restoration'!#REF!</definedName>
    <definedName name="USR_MD">'Stream Restoration'!#REF!</definedName>
    <definedName name="USR_NY">'Stream Restoration'!#REF!</definedName>
    <definedName name="USR_PA">'Stream Restoration'!#REF!</definedName>
    <definedName name="USR_VA">'Stream Restoration'!#REF!</definedName>
    <definedName name="USR_Watershed">'Stream Restoration'!$B$17</definedName>
    <definedName name="USR_WV">'Stream Restoration'!#REF!</definedName>
    <definedName name="VA_Buffer_ARR">'[1]Opportuniy Cost'!$E$26</definedName>
    <definedName name="VA_Impervious">Assumptions!$H$8</definedName>
    <definedName name="VOC_DC">'Vegetated Channel'!$B$16</definedName>
    <definedName name="VOC_DE">'Vegetated Channel'!$B$17</definedName>
    <definedName name="VOC_MD">'Vegetated Channel'!$B$18</definedName>
    <definedName name="VOC_NY">'Vegetated Channel'!$B$19</definedName>
    <definedName name="VOC_PA">'Vegetated Channel'!$B$20</definedName>
    <definedName name="VOC_VA">'Vegetated Channel'!$B$21</definedName>
    <definedName name="VOC_Watershed">'Vegetated Channel'!$B$15</definedName>
    <definedName name="VOC_WV">'Vegetated Channel'!$B$22</definedName>
    <definedName name="Watershed_Impervious">Assumptions!$H$10</definedName>
    <definedName name="WETLANDS">'Wetlands-Wet Ponds'!$C$52:$E$59</definedName>
    <definedName name="WV_Buffer_ARR">'[1]Opportuniy Cost'!$E$30</definedName>
    <definedName name="WV_Impervious">Assumptions!$H$9</definedName>
    <definedName name="WWP_DC">'Wetlands-Wet Ponds'!#REF!</definedName>
    <definedName name="WWP_DE">'Wetlands-Wet Ponds'!#REF!</definedName>
    <definedName name="WWP_MD">'Wetlands-Wet Ponds'!#REF!</definedName>
    <definedName name="WWP_NY">'Wetlands-Wet Ponds'!#REF!</definedName>
    <definedName name="WWP_PA">'Wetlands-Wet Ponds'!#REF!</definedName>
    <definedName name="WWP_VA">'Wetlands-Wet Ponds'!#REF!</definedName>
    <definedName name="WWP_Watershed">'Wetlands-Wet Ponds'!#REF!</definedName>
    <definedName name="WWP_WV">'Wetlands-Wet Ponds'!#REF!</definedName>
  </definedNames>
  <calcPr calcId="125725"/>
</workbook>
</file>

<file path=xl/calcChain.xml><?xml version="1.0" encoding="utf-8"?>
<calcChain xmlns="http://schemas.openxmlformats.org/spreadsheetml/2006/main">
  <c r="AI68" i="2"/>
  <c r="AJ68"/>
  <c r="AK68"/>
  <c r="AL68"/>
  <c r="AM68"/>
  <c r="AN68"/>
  <c r="AO68"/>
  <c r="AI69"/>
  <c r="AJ69"/>
  <c r="AK69"/>
  <c r="AL69"/>
  <c r="AM69"/>
  <c r="AN69"/>
  <c r="AO69"/>
  <c r="AH69"/>
  <c r="AH68"/>
  <c r="AA68"/>
  <c r="AB68"/>
  <c r="AC68"/>
  <c r="AD68"/>
  <c r="AE68"/>
  <c r="AF68"/>
  <c r="AA69"/>
  <c r="AB69"/>
  <c r="AC69"/>
  <c r="AD69"/>
  <c r="AE69"/>
  <c r="AF69"/>
  <c r="Z69"/>
  <c r="Z68"/>
  <c r="Y69"/>
  <c r="Y68"/>
  <c r="W67"/>
  <c r="W68" s="1"/>
  <c r="Q68"/>
  <c r="R68"/>
  <c r="S68"/>
  <c r="T68"/>
  <c r="U68"/>
  <c r="V68"/>
  <c r="Q69"/>
  <c r="R69"/>
  <c r="S69"/>
  <c r="T69"/>
  <c r="U69"/>
  <c r="V69"/>
  <c r="W65"/>
  <c r="W64"/>
  <c r="W66" s="1"/>
  <c r="W61"/>
  <c r="W62" s="1"/>
  <c r="W59"/>
  <c r="W58"/>
  <c r="W60" s="1"/>
  <c r="AO54"/>
  <c r="AN54"/>
  <c r="AM54"/>
  <c r="AL54"/>
  <c r="AJ54"/>
  <c r="AI54"/>
  <c r="AH54"/>
  <c r="AO53"/>
  <c r="AN53"/>
  <c r="AM53"/>
  <c r="AL53"/>
  <c r="AJ53"/>
  <c r="AI53"/>
  <c r="AH53"/>
  <c r="AF54"/>
  <c r="AE54"/>
  <c r="AD54"/>
  <c r="AC54"/>
  <c r="AA54"/>
  <c r="Z54"/>
  <c r="Y54"/>
  <c r="AF53"/>
  <c r="AE53"/>
  <c r="AD53"/>
  <c r="AC53"/>
  <c r="AA53"/>
  <c r="Z53"/>
  <c r="Y53"/>
  <c r="W53"/>
  <c r="W52"/>
  <c r="W54" s="1"/>
  <c r="V54"/>
  <c r="V53"/>
  <c r="U54"/>
  <c r="U53"/>
  <c r="T54"/>
  <c r="T53"/>
  <c r="S54"/>
  <c r="S53"/>
  <c r="Q54"/>
  <c r="Q53"/>
  <c r="P54"/>
  <c r="P53"/>
  <c r="O54"/>
  <c r="O53"/>
  <c r="W51"/>
  <c r="W50"/>
  <c r="AO51"/>
  <c r="AN51"/>
  <c r="AM51"/>
  <c r="AL51"/>
  <c r="AK51"/>
  <c r="AJ51"/>
  <c r="AI51"/>
  <c r="AH51"/>
  <c r="AO50"/>
  <c r="AN50"/>
  <c r="AM50"/>
  <c r="AL50"/>
  <c r="AK50"/>
  <c r="AJ50"/>
  <c r="AI50"/>
  <c r="AH50"/>
  <c r="AF51"/>
  <c r="AE51"/>
  <c r="AD51"/>
  <c r="AC51"/>
  <c r="AB51"/>
  <c r="AA51"/>
  <c r="Z51"/>
  <c r="Y51"/>
  <c r="AF50"/>
  <c r="AE50"/>
  <c r="AD50"/>
  <c r="AC50"/>
  <c r="AB50"/>
  <c r="AA50"/>
  <c r="Z50"/>
  <c r="Y50"/>
  <c r="Q50"/>
  <c r="R50"/>
  <c r="S50"/>
  <c r="T50"/>
  <c r="U50"/>
  <c r="V50"/>
  <c r="Q51"/>
  <c r="R51"/>
  <c r="S51"/>
  <c r="T51"/>
  <c r="U51"/>
  <c r="V51"/>
  <c r="P51"/>
  <c r="P50"/>
  <c r="O51"/>
  <c r="O50"/>
  <c r="W47"/>
  <c r="W46"/>
  <c r="W48" s="1"/>
  <c r="AJ44"/>
  <c r="AK44"/>
  <c r="AL44"/>
  <c r="AM44"/>
  <c r="AN44"/>
  <c r="AO44"/>
  <c r="AJ45"/>
  <c r="AK45"/>
  <c r="AL45"/>
  <c r="AM45"/>
  <c r="AN45"/>
  <c r="AO45"/>
  <c r="AI45"/>
  <c r="AI44"/>
  <c r="AA44"/>
  <c r="AB44"/>
  <c r="AC44"/>
  <c r="AD44"/>
  <c r="AE44"/>
  <c r="AF44"/>
  <c r="AA45"/>
  <c r="AB45"/>
  <c r="AC45"/>
  <c r="AD45"/>
  <c r="AE45"/>
  <c r="AF45"/>
  <c r="Z45"/>
  <c r="Z44"/>
  <c r="Y45"/>
  <c r="Y44"/>
  <c r="Q44"/>
  <c r="R44"/>
  <c r="S44"/>
  <c r="T44"/>
  <c r="U44"/>
  <c r="V44"/>
  <c r="Q45"/>
  <c r="R45"/>
  <c r="S45"/>
  <c r="T45"/>
  <c r="U45"/>
  <c r="V45"/>
  <c r="P45"/>
  <c r="P44"/>
  <c r="O43"/>
  <c r="O44" s="1"/>
  <c r="W40"/>
  <c r="W42" s="1"/>
  <c r="AO40"/>
  <c r="AN40"/>
  <c r="AN42" s="1"/>
  <c r="AM40"/>
  <c r="AL40"/>
  <c r="AK40"/>
  <c r="AK41" s="1"/>
  <c r="AJ40"/>
  <c r="AH40"/>
  <c r="AH42" s="1"/>
  <c r="H10" i="53"/>
  <c r="C12"/>
  <c r="D12"/>
  <c r="E12"/>
  <c r="F12"/>
  <c r="G12"/>
  <c r="B12"/>
  <c r="AF41" i="2"/>
  <c r="AF42"/>
  <c r="AE42"/>
  <c r="AD42"/>
  <c r="AC42"/>
  <c r="AB42"/>
  <c r="AA42"/>
  <c r="Z42"/>
  <c r="Y42"/>
  <c r="AE41"/>
  <c r="AD41"/>
  <c r="AC41"/>
  <c r="AB41"/>
  <c r="AA41"/>
  <c r="Z41"/>
  <c r="Y41"/>
  <c r="Y38"/>
  <c r="AO42"/>
  <c r="AI42"/>
  <c r="AO41"/>
  <c r="AM41"/>
  <c r="AI41"/>
  <c r="AM42"/>
  <c r="AL42"/>
  <c r="AK42"/>
  <c r="AJ42"/>
  <c r="AO39"/>
  <c r="AI39"/>
  <c r="AO38"/>
  <c r="AI38"/>
  <c r="AN37"/>
  <c r="AN39" s="1"/>
  <c r="AM37"/>
  <c r="AM39" s="1"/>
  <c r="AL37"/>
  <c r="AL39" s="1"/>
  <c r="AK37"/>
  <c r="AK39" s="1"/>
  <c r="AJ37"/>
  <c r="AJ39" s="1"/>
  <c r="AH37"/>
  <c r="AH39" s="1"/>
  <c r="V40"/>
  <c r="V42" s="1"/>
  <c r="U40"/>
  <c r="U42" s="1"/>
  <c r="T40"/>
  <c r="T42" s="1"/>
  <c r="S40"/>
  <c r="S42" s="1"/>
  <c r="R40"/>
  <c r="R41" s="1"/>
  <c r="Q40"/>
  <c r="Q42" s="1"/>
  <c r="O40"/>
  <c r="O42" s="1"/>
  <c r="P42"/>
  <c r="T41"/>
  <c r="P41"/>
  <c r="R42"/>
  <c r="AF39"/>
  <c r="AF38"/>
  <c r="AE39"/>
  <c r="AE38"/>
  <c r="AD39"/>
  <c r="AD38"/>
  <c r="AC39"/>
  <c r="AC38"/>
  <c r="AB39"/>
  <c r="AB38"/>
  <c r="AA39"/>
  <c r="AA38"/>
  <c r="Z39"/>
  <c r="Z38"/>
  <c r="Y39"/>
  <c r="W37"/>
  <c r="W38" s="1"/>
  <c r="D15" i="28"/>
  <c r="E15"/>
  <c r="F15"/>
  <c r="G15"/>
  <c r="H15"/>
  <c r="V39" i="2"/>
  <c r="V38"/>
  <c r="U38"/>
  <c r="U37"/>
  <c r="U39" s="1"/>
  <c r="T37"/>
  <c r="T38" s="1"/>
  <c r="S37"/>
  <c r="S39" s="1"/>
  <c r="R37"/>
  <c r="R38" s="1"/>
  <c r="Q38"/>
  <c r="Q37"/>
  <c r="Q39" s="1"/>
  <c r="P39"/>
  <c r="P38"/>
  <c r="D12" i="28"/>
  <c r="AI35" i="2"/>
  <c r="AJ35"/>
  <c r="AK35"/>
  <c r="AL35"/>
  <c r="AM35"/>
  <c r="AN35"/>
  <c r="AO35"/>
  <c r="AI36"/>
  <c r="AJ36"/>
  <c r="AK36"/>
  <c r="AL36"/>
  <c r="AM36"/>
  <c r="AN36"/>
  <c r="AO36"/>
  <c r="Q35"/>
  <c r="R35"/>
  <c r="S35"/>
  <c r="T35"/>
  <c r="U35"/>
  <c r="V35"/>
  <c r="Q36"/>
  <c r="R36"/>
  <c r="S36"/>
  <c r="T36"/>
  <c r="U36"/>
  <c r="V36"/>
  <c r="P36"/>
  <c r="P35"/>
  <c r="F31"/>
  <c r="W28"/>
  <c r="W29" s="1"/>
  <c r="S30"/>
  <c r="S29"/>
  <c r="V28"/>
  <c r="V30" s="1"/>
  <c r="U28"/>
  <c r="U30" s="1"/>
  <c r="T28"/>
  <c r="T30" s="1"/>
  <c r="R28"/>
  <c r="R30" s="1"/>
  <c r="Q29"/>
  <c r="Q28"/>
  <c r="Q30" s="1"/>
  <c r="O28"/>
  <c r="O29" s="1"/>
  <c r="F41" i="56"/>
  <c r="E41"/>
  <c r="D41"/>
  <c r="C41"/>
  <c r="B41"/>
  <c r="B39"/>
  <c r="W25" i="2"/>
  <c r="W27" s="1"/>
  <c r="C22" i="22"/>
  <c r="W17" i="2"/>
  <c r="W23" s="1"/>
  <c r="W16"/>
  <c r="W22" s="1"/>
  <c r="W19"/>
  <c r="W21" s="1"/>
  <c r="W14"/>
  <c r="W13"/>
  <c r="W15" s="1"/>
  <c r="W7"/>
  <c r="W9" s="1"/>
  <c r="W5"/>
  <c r="W4"/>
  <c r="W6" s="1"/>
  <c r="D34" i="47"/>
  <c r="D36"/>
  <c r="D38"/>
  <c r="D40"/>
  <c r="E34"/>
  <c r="E36"/>
  <c r="E38"/>
  <c r="E40"/>
  <c r="C35"/>
  <c r="C39"/>
  <c r="C36"/>
  <c r="C40"/>
  <c r="D34" i="33"/>
  <c r="D36"/>
  <c r="D38"/>
  <c r="D40"/>
  <c r="E34"/>
  <c r="E36"/>
  <c r="E38"/>
  <c r="E40"/>
  <c r="C35"/>
  <c r="C39"/>
  <c r="C36"/>
  <c r="C40"/>
  <c r="B36" i="62"/>
  <c r="B40"/>
  <c r="B37"/>
  <c r="B41"/>
  <c r="D25" i="34"/>
  <c r="C34" i="27"/>
  <c r="D35"/>
  <c r="E36"/>
  <c r="C38"/>
  <c r="D39"/>
  <c r="E40"/>
  <c r="C35"/>
  <c r="D36"/>
  <c r="E37"/>
  <c r="C39"/>
  <c r="D40"/>
  <c r="D33"/>
  <c r="E36" i="24"/>
  <c r="C38"/>
  <c r="C37"/>
  <c r="D38"/>
  <c r="E39"/>
  <c r="C41"/>
  <c r="D42"/>
  <c r="D39"/>
  <c r="E40"/>
  <c r="C42"/>
  <c r="E35"/>
  <c r="C35"/>
  <c r="D72" i="7"/>
  <c r="D74"/>
  <c r="D76"/>
  <c r="D78"/>
  <c r="E72"/>
  <c r="E74"/>
  <c r="E76"/>
  <c r="E78"/>
  <c r="C79"/>
  <c r="C77"/>
  <c r="C75"/>
  <c r="C73"/>
  <c r="E35" i="25"/>
  <c r="C37"/>
  <c r="D38"/>
  <c r="E39"/>
  <c r="C41"/>
  <c r="D35"/>
  <c r="E36"/>
  <c r="C38"/>
  <c r="D39"/>
  <c r="E40"/>
  <c r="E34"/>
  <c r="C40" i="49"/>
  <c r="C42"/>
  <c r="C44"/>
  <c r="C46"/>
  <c r="D41"/>
  <c r="D43"/>
  <c r="D45"/>
  <c r="D39"/>
  <c r="C39"/>
  <c r="D35" i="47"/>
  <c r="D37"/>
  <c r="D39"/>
  <c r="D41"/>
  <c r="E35"/>
  <c r="E37"/>
  <c r="E39"/>
  <c r="E41"/>
  <c r="C37"/>
  <c r="C41"/>
  <c r="C38"/>
  <c r="C34"/>
  <c r="D35" i="33"/>
  <c r="D37"/>
  <c r="D39"/>
  <c r="D41"/>
  <c r="E35"/>
  <c r="E37"/>
  <c r="E39"/>
  <c r="E41"/>
  <c r="C37"/>
  <c r="C41"/>
  <c r="C38"/>
  <c r="C34"/>
  <c r="B38" i="62"/>
  <c r="B42"/>
  <c r="B39"/>
  <c r="B35"/>
  <c r="E25" i="34"/>
  <c r="C25"/>
  <c r="E34" i="27"/>
  <c r="C36"/>
  <c r="D37"/>
  <c r="E38"/>
  <c r="C40"/>
  <c r="D34"/>
  <c r="E35"/>
  <c r="C37"/>
  <c r="D38"/>
  <c r="E39"/>
  <c r="E33"/>
  <c r="C33"/>
  <c r="C36" i="24"/>
  <c r="D37"/>
  <c r="D36"/>
  <c r="E37"/>
  <c r="C39"/>
  <c r="D40"/>
  <c r="E41"/>
  <c r="E38"/>
  <c r="C40"/>
  <c r="D41"/>
  <c r="E42"/>
  <c r="D35"/>
  <c r="D73" i="7"/>
  <c r="D75"/>
  <c r="D77"/>
  <c r="D79"/>
  <c r="E73"/>
  <c r="E75"/>
  <c r="E77"/>
  <c r="E79"/>
  <c r="C78"/>
  <c r="C76"/>
  <c r="C74"/>
  <c r="C72"/>
  <c r="C35" i="25"/>
  <c r="D36"/>
  <c r="E37"/>
  <c r="C39"/>
  <c r="D40"/>
  <c r="E41"/>
  <c r="C36"/>
  <c r="D37"/>
  <c r="E38"/>
  <c r="C40"/>
  <c r="D41"/>
  <c r="D34"/>
  <c r="C34"/>
  <c r="C41" i="49"/>
  <c r="C43"/>
  <c r="C45"/>
  <c r="D40"/>
  <c r="D42"/>
  <c r="D44"/>
  <c r="D46"/>
  <c r="W8" i="2" l="1"/>
  <c r="W20"/>
  <c r="W18"/>
  <c r="W24" s="1"/>
  <c r="W26"/>
  <c r="O30"/>
  <c r="R29"/>
  <c r="U29"/>
  <c r="W30"/>
  <c r="W39"/>
  <c r="W41"/>
  <c r="O45"/>
  <c r="W63"/>
  <c r="W69"/>
  <c r="T29"/>
  <c r="V29"/>
  <c r="S38"/>
  <c r="AE64"/>
  <c r="AC64"/>
  <c r="AA64"/>
  <c r="AF64"/>
  <c r="AD64"/>
  <c r="AB64"/>
  <c r="Z64"/>
  <c r="AF66"/>
  <c r="AE66"/>
  <c r="AD66"/>
  <c r="AC66"/>
  <c r="AB66"/>
  <c r="AA66"/>
  <c r="Z66"/>
  <c r="AF65"/>
  <c r="AE65"/>
  <c r="AD65"/>
  <c r="AC65"/>
  <c r="AB65"/>
  <c r="AA65"/>
  <c r="Z65"/>
  <c r="Y66"/>
  <c r="Y65"/>
  <c r="Y64"/>
  <c r="AE61"/>
  <c r="AC61"/>
  <c r="AA61"/>
  <c r="AF61"/>
  <c r="AD61"/>
  <c r="AB61"/>
  <c r="Z61"/>
  <c r="AF63"/>
  <c r="AE63"/>
  <c r="AD63"/>
  <c r="AC63"/>
  <c r="AB63"/>
  <c r="AA63"/>
  <c r="Z63"/>
  <c r="AF62"/>
  <c r="AE62"/>
  <c r="AD62"/>
  <c r="AC62"/>
  <c r="AB62"/>
  <c r="AA62"/>
  <c r="Z62"/>
  <c r="Y63"/>
  <c r="Y62"/>
  <c r="Y61"/>
  <c r="AN59"/>
  <c r="AN58"/>
  <c r="AN60"/>
  <c r="AL59"/>
  <c r="AL58"/>
  <c r="AL60"/>
  <c r="AJ59"/>
  <c r="AJ58"/>
  <c r="AJ60"/>
  <c r="AO58"/>
  <c r="AO60"/>
  <c r="AO59"/>
  <c r="AM58"/>
  <c r="AM60"/>
  <c r="AM59"/>
  <c r="AK58"/>
  <c r="AK60"/>
  <c r="AK59"/>
  <c r="AI58"/>
  <c r="AI60"/>
  <c r="AI59"/>
  <c r="AH60"/>
  <c r="AH59"/>
  <c r="AH58"/>
  <c r="AF47"/>
  <c r="AE48"/>
  <c r="AE46"/>
  <c r="AD47"/>
  <c r="AC48"/>
  <c r="AC46"/>
  <c r="AB47"/>
  <c r="AA48"/>
  <c r="AA46"/>
  <c r="Z47"/>
  <c r="AF48"/>
  <c r="AF46"/>
  <c r="AE47"/>
  <c r="AD48"/>
  <c r="AD46"/>
  <c r="AC47"/>
  <c r="AB48"/>
  <c r="AB46"/>
  <c r="AA47"/>
  <c r="Z48"/>
  <c r="Z46"/>
  <c r="Y47"/>
  <c r="Y48"/>
  <c r="Y46"/>
  <c r="AH41"/>
  <c r="AJ41"/>
  <c r="AL41"/>
  <c r="AN41"/>
  <c r="AH38"/>
  <c r="AJ38"/>
  <c r="AL38"/>
  <c r="AN38"/>
  <c r="AK38"/>
  <c r="AM38"/>
  <c r="V41"/>
  <c r="O41"/>
  <c r="Q41"/>
  <c r="S41"/>
  <c r="U41"/>
  <c r="R39"/>
  <c r="T39"/>
  <c r="AF18"/>
  <c r="AF24" s="1"/>
  <c r="AF16"/>
  <c r="AF22" s="1"/>
  <c r="AE17"/>
  <c r="AE23" s="1"/>
  <c r="AD18"/>
  <c r="AD24" s="1"/>
  <c r="AD16"/>
  <c r="AD22" s="1"/>
  <c r="AC17"/>
  <c r="AC23" s="1"/>
  <c r="AB18"/>
  <c r="AB24" s="1"/>
  <c r="AF17"/>
  <c r="AF23" s="1"/>
  <c r="AE18"/>
  <c r="AE24" s="1"/>
  <c r="AE16"/>
  <c r="AE22" s="1"/>
  <c r="AD17"/>
  <c r="AD23" s="1"/>
  <c r="AC18"/>
  <c r="AC24" s="1"/>
  <c r="AC16"/>
  <c r="AC22" s="1"/>
  <c r="AB17"/>
  <c r="AB23" s="1"/>
  <c r="AA18"/>
  <c r="AA24" s="1"/>
  <c r="AA16"/>
  <c r="AA22" s="1"/>
  <c r="Z17"/>
  <c r="Z23" s="1"/>
  <c r="AB16"/>
  <c r="AB22" s="1"/>
  <c r="AA17"/>
  <c r="AA23" s="1"/>
  <c r="Z18"/>
  <c r="Z24" s="1"/>
  <c r="Z16"/>
  <c r="Z22" s="1"/>
  <c r="Y18"/>
  <c r="Y24" s="1"/>
  <c r="Y17"/>
  <c r="Y23" s="1"/>
  <c r="Y16"/>
  <c r="Y22" s="1"/>
  <c r="Z19"/>
  <c r="AA19"/>
  <c r="AB19"/>
  <c r="AC19"/>
  <c r="AD19"/>
  <c r="AE19"/>
  <c r="AF19"/>
  <c r="AF21"/>
  <c r="AE21"/>
  <c r="AD21"/>
  <c r="AC21"/>
  <c r="AB21"/>
  <c r="AA21"/>
  <c r="Z21"/>
  <c r="AF20"/>
  <c r="AE20"/>
  <c r="AD20"/>
  <c r="AC20"/>
  <c r="AB20"/>
  <c r="AA20"/>
  <c r="Z20"/>
  <c r="Y21"/>
  <c r="Y20"/>
  <c r="Y19"/>
  <c r="AF14"/>
  <c r="AE15"/>
  <c r="AE13"/>
  <c r="AD14"/>
  <c r="AC15"/>
  <c r="AC13"/>
  <c r="AB14"/>
  <c r="AA15"/>
  <c r="AA13"/>
  <c r="Z14"/>
  <c r="AF15"/>
  <c r="AF13"/>
  <c r="AE14"/>
  <c r="AD15"/>
  <c r="AD13"/>
  <c r="AC14"/>
  <c r="AB15"/>
  <c r="AB13"/>
  <c r="AA14"/>
  <c r="Z15"/>
  <c r="Z13"/>
  <c r="Y15"/>
  <c r="Y14"/>
  <c r="Y13"/>
  <c r="B4" i="62"/>
  <c r="B8"/>
  <c r="B9" s="1"/>
  <c r="M42" i="2"/>
  <c r="M41"/>
  <c r="M40"/>
  <c r="L42"/>
  <c r="L41"/>
  <c r="L40"/>
  <c r="K42"/>
  <c r="K41"/>
  <c r="K40"/>
  <c r="J42"/>
  <c r="J41"/>
  <c r="J40"/>
  <c r="I42"/>
  <c r="I41"/>
  <c r="I40"/>
  <c r="H42"/>
  <c r="H41"/>
  <c r="H40"/>
  <c r="H12" i="53"/>
  <c r="F42" i="2" s="1"/>
  <c r="L39"/>
  <c r="L38"/>
  <c r="L37"/>
  <c r="K39"/>
  <c r="K38"/>
  <c r="K37"/>
  <c r="J39"/>
  <c r="J38"/>
  <c r="J37"/>
  <c r="I39"/>
  <c r="I38"/>
  <c r="I37"/>
  <c r="H39"/>
  <c r="H38"/>
  <c r="H37"/>
  <c r="G40" i="56"/>
  <c r="F39"/>
  <c r="E39"/>
  <c r="D39"/>
  <c r="B13"/>
  <c r="B12"/>
  <c r="B11"/>
  <c r="B10"/>
  <c r="B9"/>
  <c r="B8"/>
  <c r="C7"/>
  <c r="C6"/>
  <c r="C39" s="1"/>
  <c r="B25" i="62"/>
  <c r="B29"/>
  <c r="B32"/>
  <c r="B28"/>
  <c r="B31"/>
  <c r="B27"/>
  <c r="B30"/>
  <c r="B26"/>
  <c r="B45"/>
  <c r="B49"/>
  <c r="B52"/>
  <c r="B48"/>
  <c r="B51"/>
  <c r="B47"/>
  <c r="B50"/>
  <c r="B46"/>
  <c r="D36" i="32"/>
  <c r="C39"/>
  <c r="E36"/>
  <c r="D39"/>
  <c r="E41"/>
  <c r="E35"/>
  <c r="C37"/>
  <c r="D38"/>
  <c r="E39"/>
  <c r="C41"/>
  <c r="C36"/>
  <c r="D37"/>
  <c r="E38"/>
  <c r="C40"/>
  <c r="D41"/>
  <c r="E34"/>
  <c r="C34"/>
  <c r="C35"/>
  <c r="E37"/>
  <c r="D40"/>
  <c r="D35"/>
  <c r="C38"/>
  <c r="E40"/>
  <c r="D34"/>
  <c r="Z60" i="2" l="1"/>
  <c r="Z58"/>
  <c r="Z59"/>
  <c r="AD60"/>
  <c r="AD58"/>
  <c r="AD59"/>
  <c r="AA58"/>
  <c r="AA59"/>
  <c r="AA60"/>
  <c r="AE58"/>
  <c r="AE59"/>
  <c r="AE60"/>
  <c r="AB58"/>
  <c r="AB59"/>
  <c r="AB60"/>
  <c r="AF58"/>
  <c r="AF59"/>
  <c r="AF60"/>
  <c r="AC59"/>
  <c r="AC60"/>
  <c r="AC58"/>
  <c r="Y59"/>
  <c r="Y58"/>
  <c r="Y60"/>
  <c r="F41"/>
  <c r="B16" i="62"/>
  <c r="F40" i="2"/>
  <c r="AC4"/>
  <c r="AF6"/>
  <c r="AF5"/>
  <c r="AE6"/>
  <c r="AE4"/>
  <c r="AD5"/>
  <c r="AC6"/>
  <c r="AB5"/>
  <c r="AA6"/>
  <c r="AA4"/>
  <c r="Z5"/>
  <c r="AF4"/>
  <c r="AE5"/>
  <c r="AD6"/>
  <c r="AD4"/>
  <c r="AC5"/>
  <c r="AB6"/>
  <c r="AB4"/>
  <c r="AA5"/>
  <c r="Z6"/>
  <c r="Z4"/>
  <c r="Y6"/>
  <c r="Y5"/>
  <c r="Y4"/>
  <c r="B22" i="62"/>
  <c r="B21"/>
  <c r="B19"/>
  <c r="B18"/>
  <c r="B15"/>
  <c r="B17"/>
  <c r="B20"/>
  <c r="G39" i="56"/>
  <c r="O59" i="2" l="1"/>
  <c r="O60"/>
  <c r="O58"/>
  <c r="Q59"/>
  <c r="Q60"/>
  <c r="Q58"/>
  <c r="R58"/>
  <c r="R59"/>
  <c r="R60"/>
  <c r="U59"/>
  <c r="U60"/>
  <c r="U58"/>
  <c r="T58"/>
  <c r="T59"/>
  <c r="T60"/>
  <c r="S59"/>
  <c r="S60"/>
  <c r="S58"/>
  <c r="V58"/>
  <c r="V59"/>
  <c r="V60"/>
  <c r="P58"/>
  <c r="P59"/>
  <c r="P60"/>
  <c r="K59"/>
  <c r="K60"/>
  <c r="K58"/>
  <c r="G59"/>
  <c r="G60"/>
  <c r="G58"/>
  <c r="L60"/>
  <c r="L58"/>
  <c r="L59"/>
  <c r="H60"/>
  <c r="H58"/>
  <c r="H59"/>
  <c r="J60"/>
  <c r="J58"/>
  <c r="J59"/>
  <c r="M59"/>
  <c r="M60"/>
  <c r="M58"/>
  <c r="I59"/>
  <c r="I60"/>
  <c r="I58"/>
  <c r="G41" i="56"/>
  <c r="B16" i="22" l="1"/>
  <c r="B18" s="1"/>
  <c r="B22" s="1"/>
  <c r="B15"/>
  <c r="E60" i="2" l="1"/>
  <c r="E59"/>
  <c r="E58"/>
  <c r="F60" l="1"/>
  <c r="F59"/>
  <c r="E39"/>
  <c r="F58" l="1"/>
  <c r="E66"/>
  <c r="E65"/>
  <c r="E69"/>
  <c r="E68"/>
  <c r="E67"/>
  <c r="E63"/>
  <c r="E62"/>
  <c r="C6" i="28" l="1"/>
  <c r="B11"/>
  <c r="B10"/>
  <c r="B6"/>
  <c r="F5" i="12"/>
  <c r="F6"/>
  <c r="F7"/>
  <c r="F8"/>
  <c r="F9"/>
  <c r="F10"/>
  <c r="F11"/>
  <c r="F12"/>
  <c r="F13"/>
  <c r="F14"/>
  <c r="F15"/>
  <c r="F16"/>
  <c r="F17"/>
  <c r="F18"/>
  <c r="F19"/>
  <c r="F20"/>
  <c r="F21"/>
  <c r="F22"/>
  <c r="F23"/>
  <c r="F24"/>
  <c r="F4"/>
  <c r="H9" i="53" l="1"/>
  <c r="I13" i="28"/>
  <c r="F12"/>
  <c r="E12"/>
  <c r="B12" l="1"/>
  <c r="B15" s="1"/>
  <c r="C12"/>
  <c r="C15" s="1"/>
  <c r="I15" l="1"/>
  <c r="I12"/>
  <c r="O37" i="2" s="1"/>
  <c r="O38" l="1"/>
  <c r="O39"/>
  <c r="F38"/>
  <c r="F39"/>
  <c r="F37"/>
  <c r="O26"/>
  <c r="O27"/>
  <c r="O25"/>
  <c r="F26" l="1"/>
  <c r="F27"/>
  <c r="F25"/>
  <c r="W43" l="1"/>
  <c r="C14" i="54"/>
  <c r="W34" i="2"/>
  <c r="W10"/>
  <c r="W36" l="1"/>
  <c r="W35"/>
  <c r="W44"/>
  <c r="W45"/>
  <c r="W12"/>
  <c r="W11"/>
  <c r="E64"/>
  <c r="E61"/>
  <c r="E57"/>
  <c r="E56"/>
  <c r="E55"/>
  <c r="E54"/>
  <c r="E53"/>
  <c r="E52"/>
  <c r="E51"/>
  <c r="E50"/>
  <c r="E49"/>
  <c r="E48"/>
  <c r="E47"/>
  <c r="E46"/>
  <c r="E45"/>
  <c r="E44"/>
  <c r="E43"/>
  <c r="E42"/>
  <c r="E41"/>
  <c r="E40"/>
  <c r="E38"/>
  <c r="E37"/>
  <c r="E36"/>
  <c r="E35"/>
  <c r="E34"/>
  <c r="E33"/>
  <c r="E32"/>
  <c r="E31"/>
  <c r="E30"/>
  <c r="E29"/>
  <c r="E28"/>
  <c r="E27"/>
  <c r="E26"/>
  <c r="E25"/>
  <c r="E24"/>
  <c r="E23"/>
  <c r="E22"/>
  <c r="E21"/>
  <c r="E20"/>
  <c r="E19"/>
  <c r="E18"/>
  <c r="E17"/>
  <c r="E16"/>
  <c r="E15"/>
  <c r="E14"/>
  <c r="E13"/>
  <c r="E12"/>
  <c r="E11"/>
  <c r="E10"/>
  <c r="E9"/>
  <c r="E8"/>
  <c r="E7"/>
  <c r="E6"/>
  <c r="E5"/>
  <c r="E4"/>
  <c r="E6" i="27" l="1"/>
  <c r="D6"/>
  <c r="C6"/>
  <c r="H7" i="47"/>
  <c r="K7" s="1"/>
  <c r="G7"/>
  <c r="F7"/>
  <c r="I7" s="1"/>
  <c r="H8" i="24"/>
  <c r="G8"/>
  <c r="F8"/>
  <c r="K7" i="25"/>
  <c r="J7"/>
  <c r="I7"/>
  <c r="H7" i="33"/>
  <c r="G7"/>
  <c r="F7"/>
  <c r="K31" i="7"/>
  <c r="J31"/>
  <c r="I31"/>
  <c r="K8" i="24" l="1"/>
  <c r="I8"/>
  <c r="J7" i="47"/>
  <c r="J8" i="24"/>
  <c r="J7" i="33"/>
  <c r="I7"/>
  <c r="K7"/>
  <c r="K7" i="7"/>
  <c r="J7"/>
  <c r="I7"/>
  <c r="I7" i="32"/>
  <c r="J7"/>
  <c r="K7"/>
  <c r="F32" i="2" l="1"/>
  <c r="K32"/>
  <c r="F33"/>
  <c r="K33"/>
  <c r="B28" i="12" l="1"/>
  <c r="E11" i="34" l="1"/>
  <c r="E10"/>
  <c r="E7"/>
  <c r="E22"/>
  <c r="E12" l="1"/>
  <c r="C6" i="36"/>
  <c r="D17"/>
  <c r="D19"/>
  <c r="D18"/>
  <c r="D20"/>
  <c r="D21"/>
  <c r="D14"/>
  <c r="D15"/>
  <c r="E28" i="34"/>
  <c r="D16" i="36"/>
  <c r="P10" i="2" l="1"/>
  <c r="P12"/>
  <c r="P11"/>
  <c r="R10"/>
  <c r="R12"/>
  <c r="R11"/>
  <c r="T10"/>
  <c r="T12"/>
  <c r="T11"/>
  <c r="V10"/>
  <c r="V12"/>
  <c r="V11"/>
  <c r="Q11"/>
  <c r="Q10"/>
  <c r="Q12"/>
  <c r="S11"/>
  <c r="S10"/>
  <c r="S12"/>
  <c r="U11"/>
  <c r="U10"/>
  <c r="U12"/>
  <c r="O11"/>
  <c r="O12"/>
  <c r="O10"/>
  <c r="E19" i="34"/>
  <c r="D11" l="1"/>
  <c r="D10"/>
  <c r="D7"/>
  <c r="C11"/>
  <c r="C10"/>
  <c r="C7"/>
  <c r="B6" i="26"/>
  <c r="C17" s="1"/>
  <c r="O34" i="2" s="1"/>
  <c r="B8" i="54"/>
  <c r="B9" i="26"/>
  <c r="B8"/>
  <c r="C8" i="36"/>
  <c r="D11" i="49"/>
  <c r="D10"/>
  <c r="C11"/>
  <c r="C10"/>
  <c r="D7"/>
  <c r="C7"/>
  <c r="D29"/>
  <c r="D36"/>
  <c r="D34"/>
  <c r="D32"/>
  <c r="D30"/>
  <c r="D35"/>
  <c r="D33"/>
  <c r="D31"/>
  <c r="C29"/>
  <c r="C35"/>
  <c r="C33"/>
  <c r="C31"/>
  <c r="C36"/>
  <c r="C34"/>
  <c r="C32"/>
  <c r="C30"/>
  <c r="C22" i="34"/>
  <c r="D22"/>
  <c r="O35" i="2" l="1"/>
  <c r="O36"/>
  <c r="F25" i="34"/>
  <c r="AB52" i="2" s="1"/>
  <c r="C21" i="36"/>
  <c r="C17"/>
  <c r="C20"/>
  <c r="C16"/>
  <c r="C19"/>
  <c r="C15"/>
  <c r="C18"/>
  <c r="C14"/>
  <c r="D14" i="54"/>
  <c r="AH43" i="2" s="1"/>
  <c r="E31" i="49"/>
  <c r="E32"/>
  <c r="E33"/>
  <c r="E34"/>
  <c r="B14" i="54"/>
  <c r="C12" i="34"/>
  <c r="D12"/>
  <c r="E14" i="36"/>
  <c r="E15"/>
  <c r="E19"/>
  <c r="E21"/>
  <c r="E18"/>
  <c r="E17"/>
  <c r="C28" i="34"/>
  <c r="E16" i="36"/>
  <c r="D28" i="34"/>
  <c r="E20" i="36"/>
  <c r="AH45" i="2" l="1"/>
  <c r="AH44"/>
  <c r="T7"/>
  <c r="T9"/>
  <c r="T8"/>
  <c r="R7"/>
  <c r="R9"/>
  <c r="R8"/>
  <c r="S8"/>
  <c r="S7"/>
  <c r="S9"/>
  <c r="Q8"/>
  <c r="Q7"/>
  <c r="Q9"/>
  <c r="E39" i="49"/>
  <c r="Y9" i="2" s="1"/>
  <c r="E46" i="49"/>
  <c r="E42"/>
  <c r="E41"/>
  <c r="E45"/>
  <c r="E44"/>
  <c r="E43"/>
  <c r="E40"/>
  <c r="AI10" i="2"/>
  <c r="AI11"/>
  <c r="AI12"/>
  <c r="AM10"/>
  <c r="AM11"/>
  <c r="AM12"/>
  <c r="AJ11"/>
  <c r="AJ12"/>
  <c r="AJ10"/>
  <c r="AN11"/>
  <c r="AN12"/>
  <c r="AN10"/>
  <c r="E29" i="49"/>
  <c r="E35"/>
  <c r="AK12" i="2"/>
  <c r="AK10"/>
  <c r="AK11"/>
  <c r="AH12"/>
  <c r="AH11"/>
  <c r="AH10"/>
  <c r="AO12"/>
  <c r="AO10"/>
  <c r="AO11"/>
  <c r="AL10"/>
  <c r="AL11"/>
  <c r="AL12"/>
  <c r="E36" i="49"/>
  <c r="E30"/>
  <c r="F11" i="2"/>
  <c r="F12"/>
  <c r="G10"/>
  <c r="G12"/>
  <c r="G11"/>
  <c r="H12"/>
  <c r="H11"/>
  <c r="I12"/>
  <c r="I11"/>
  <c r="J11"/>
  <c r="J12"/>
  <c r="K12"/>
  <c r="K11"/>
  <c r="L12"/>
  <c r="L11"/>
  <c r="M12"/>
  <c r="M11"/>
  <c r="F28" i="34"/>
  <c r="AK52" i="2" s="1"/>
  <c r="F22" i="34"/>
  <c r="F44" i="2"/>
  <c r="F45"/>
  <c r="D19" i="34"/>
  <c r="C19"/>
  <c r="F43" i="2"/>
  <c r="AK54" l="1"/>
  <c r="AK53"/>
  <c r="R52"/>
  <c r="R54" s="1"/>
  <c r="Z7"/>
  <c r="Z9"/>
  <c r="Z8"/>
  <c r="AD7"/>
  <c r="AD9"/>
  <c r="AD8"/>
  <c r="AA8"/>
  <c r="AA7"/>
  <c r="AA9"/>
  <c r="AF7"/>
  <c r="AF9"/>
  <c r="AF8"/>
  <c r="AC8"/>
  <c r="AC7"/>
  <c r="AC9"/>
  <c r="AE8"/>
  <c r="AE7"/>
  <c r="AE9"/>
  <c r="AB7"/>
  <c r="AB9"/>
  <c r="AB8"/>
  <c r="Y7"/>
  <c r="Y8"/>
  <c r="V7"/>
  <c r="V9"/>
  <c r="V8"/>
  <c r="P7"/>
  <c r="P9"/>
  <c r="P8"/>
  <c r="U8"/>
  <c r="U7"/>
  <c r="U9"/>
  <c r="O8"/>
  <c r="O9"/>
  <c r="O7"/>
  <c r="F19" i="34"/>
  <c r="I54" i="2" s="1"/>
  <c r="G19" i="34" l="1"/>
  <c r="R53" i="2"/>
  <c r="AB54"/>
  <c r="AB53"/>
  <c r="I53"/>
  <c r="I52"/>
  <c r="F10"/>
  <c r="H10"/>
  <c r="I10"/>
  <c r="J10"/>
  <c r="K10"/>
  <c r="L10"/>
  <c r="M10"/>
  <c r="B79" i="47" l="1"/>
  <c r="P70" i="33"/>
  <c r="O70"/>
  <c r="B76" i="47" l="1"/>
  <c r="B75"/>
  <c r="B73"/>
  <c r="B77"/>
  <c r="P58" i="33"/>
  <c r="P60"/>
  <c r="P66"/>
  <c r="P67"/>
  <c r="O67"/>
  <c r="O66"/>
  <c r="O58"/>
  <c r="O60"/>
  <c r="O68" l="1"/>
  <c r="B78" i="47"/>
  <c r="P68" i="33"/>
  <c r="C12" i="49" l="1"/>
  <c r="B10" i="26"/>
  <c r="D12" i="49"/>
  <c r="C49"/>
  <c r="D51"/>
  <c r="D49"/>
  <c r="C56"/>
  <c r="C50"/>
  <c r="D52"/>
  <c r="C55"/>
  <c r="C53"/>
  <c r="C51"/>
  <c r="C54"/>
  <c r="C52"/>
  <c r="D50"/>
  <c r="B17" i="26" l="1"/>
  <c r="D17"/>
  <c r="AH34" i="2" s="1"/>
  <c r="E50" i="49"/>
  <c r="E51"/>
  <c r="E52"/>
  <c r="E49"/>
  <c r="M28" i="2"/>
  <c r="L28"/>
  <c r="K28"/>
  <c r="F28"/>
  <c r="F34"/>
  <c r="C18" i="49"/>
  <c r="C23"/>
  <c r="C19"/>
  <c r="C22"/>
  <c r="C25"/>
  <c r="C21"/>
  <c r="C24"/>
  <c r="C20"/>
  <c r="D18"/>
  <c r="D22"/>
  <c r="D19"/>
  <c r="D23"/>
  <c r="E23" s="1"/>
  <c r="D20"/>
  <c r="D24"/>
  <c r="D21"/>
  <c r="D25"/>
  <c r="I28" i="2"/>
  <c r="H28"/>
  <c r="E20" i="49"/>
  <c r="D55"/>
  <c r="D53"/>
  <c r="D54"/>
  <c r="D56"/>
  <c r="AH36" i="2" l="1"/>
  <c r="AH35"/>
  <c r="F20" i="49"/>
  <c r="E53"/>
  <c r="E54"/>
  <c r="F23" s="1"/>
  <c r="E56"/>
  <c r="E55"/>
  <c r="AK7" i="2"/>
  <c r="AK9"/>
  <c r="AK8"/>
  <c r="AI7"/>
  <c r="AI9"/>
  <c r="AI8"/>
  <c r="AJ8"/>
  <c r="AJ7"/>
  <c r="AJ9"/>
  <c r="AH7"/>
  <c r="AH8"/>
  <c r="AH9"/>
  <c r="H7"/>
  <c r="H8"/>
  <c r="H9"/>
  <c r="K7"/>
  <c r="K8"/>
  <c r="K9"/>
  <c r="F29"/>
  <c r="F30"/>
  <c r="H29"/>
  <c r="H30"/>
  <c r="I29"/>
  <c r="I30"/>
  <c r="F35"/>
  <c r="F36"/>
  <c r="K29"/>
  <c r="K30"/>
  <c r="L29"/>
  <c r="L30"/>
  <c r="M29"/>
  <c r="M30"/>
  <c r="E18" i="49"/>
  <c r="F7" i="2" s="1"/>
  <c r="E19" i="49"/>
  <c r="G8" i="2" s="1"/>
  <c r="E25" i="49"/>
  <c r="E21"/>
  <c r="F21" s="1"/>
  <c r="E24"/>
  <c r="E22"/>
  <c r="F25" l="1"/>
  <c r="F22"/>
  <c r="F18"/>
  <c r="F24"/>
  <c r="F19"/>
  <c r="I8" i="2"/>
  <c r="I7"/>
  <c r="I9"/>
  <c r="AN8"/>
  <c r="AM9"/>
  <c r="AO7"/>
  <c r="AL7"/>
  <c r="AM7"/>
  <c r="AN7"/>
  <c r="AL9"/>
  <c r="AM8"/>
  <c r="AN9"/>
  <c r="AL8"/>
  <c r="AO9"/>
  <c r="AO8"/>
  <c r="M7"/>
  <c r="M8"/>
  <c r="M9"/>
  <c r="J7"/>
  <c r="J8"/>
  <c r="J9"/>
  <c r="L7"/>
  <c r="L8"/>
  <c r="L9"/>
  <c r="G7"/>
  <c r="G9"/>
  <c r="F8"/>
  <c r="F9"/>
  <c r="K31"/>
  <c r="C5" i="12" l="1"/>
  <c r="C6"/>
  <c r="C7"/>
  <c r="C8"/>
  <c r="C9"/>
  <c r="C10"/>
  <c r="C11"/>
  <c r="C12"/>
  <c r="C13"/>
  <c r="C14"/>
  <c r="C15"/>
  <c r="B6" i="61" s="1"/>
  <c r="C16" i="12"/>
  <c r="C17"/>
  <c r="C18"/>
  <c r="C19"/>
  <c r="C20"/>
  <c r="C21"/>
  <c r="C22"/>
  <c r="C23"/>
  <c r="C24"/>
  <c r="C4"/>
  <c r="B8" i="61" l="1"/>
  <c r="G67" i="2" s="1"/>
  <c r="O67"/>
  <c r="G69"/>
  <c r="F68"/>
  <c r="F69"/>
  <c r="C8" i="32"/>
  <c r="F8" i="47"/>
  <c r="D8"/>
  <c r="D9" i="24"/>
  <c r="G8" i="25"/>
  <c r="E8"/>
  <c r="C8"/>
  <c r="E8" i="33"/>
  <c r="C8"/>
  <c r="H32" i="7"/>
  <c r="F32"/>
  <c r="D32"/>
  <c r="C32"/>
  <c r="H8" i="47"/>
  <c r="E8"/>
  <c r="C8"/>
  <c r="E9" i="24"/>
  <c r="C9"/>
  <c r="H8" i="25"/>
  <c r="F8"/>
  <c r="D8"/>
  <c r="D8" i="33"/>
  <c r="G32" i="7"/>
  <c r="E32"/>
  <c r="F8" i="33"/>
  <c r="G9" i="24"/>
  <c r="D7" i="27"/>
  <c r="F9" i="24"/>
  <c r="C7" i="27"/>
  <c r="G8" i="7"/>
  <c r="E8"/>
  <c r="C8"/>
  <c r="D8" i="32"/>
  <c r="F8"/>
  <c r="H8"/>
  <c r="H8" i="33"/>
  <c r="G8" i="47"/>
  <c r="G8" i="33"/>
  <c r="H9" i="24"/>
  <c r="E7" i="27"/>
  <c r="H8" i="7"/>
  <c r="F8"/>
  <c r="D8"/>
  <c r="E8" i="32"/>
  <c r="G8"/>
  <c r="N71" i="33"/>
  <c r="N69"/>
  <c r="N65"/>
  <c r="M71"/>
  <c r="M69"/>
  <c r="M65"/>
  <c r="L71"/>
  <c r="L69"/>
  <c r="L65"/>
  <c r="K71"/>
  <c r="K69"/>
  <c r="K65"/>
  <c r="J71"/>
  <c r="J69"/>
  <c r="J65"/>
  <c r="I71"/>
  <c r="I69"/>
  <c r="I65"/>
  <c r="H69"/>
  <c r="H65"/>
  <c r="H71"/>
  <c r="G71"/>
  <c r="G69"/>
  <c r="G65"/>
  <c r="F71"/>
  <c r="F69"/>
  <c r="F65"/>
  <c r="E71"/>
  <c r="E69"/>
  <c r="E65"/>
  <c r="D71"/>
  <c r="D69"/>
  <c r="D65"/>
  <c r="C71"/>
  <c r="C69"/>
  <c r="C65"/>
  <c r="B71"/>
  <c r="B69"/>
  <c r="B65"/>
  <c r="P67" i="2" l="1"/>
  <c r="O68"/>
  <c r="O69"/>
  <c r="F67"/>
  <c r="G68"/>
  <c r="E11" i="32"/>
  <c r="E9"/>
  <c r="K8"/>
  <c r="F11" i="7"/>
  <c r="F9"/>
  <c r="E10" i="27"/>
  <c r="E8"/>
  <c r="E26" s="1"/>
  <c r="R48" i="2" s="1"/>
  <c r="G11" i="33"/>
  <c r="G9"/>
  <c r="H9"/>
  <c r="H11"/>
  <c r="F11" i="32"/>
  <c r="F9"/>
  <c r="I8" i="7"/>
  <c r="C9"/>
  <c r="C11"/>
  <c r="G11"/>
  <c r="G9"/>
  <c r="F12" i="24"/>
  <c r="F10"/>
  <c r="G10"/>
  <c r="G12"/>
  <c r="E35" i="7"/>
  <c r="K32"/>
  <c r="E33"/>
  <c r="D11" i="33"/>
  <c r="D9"/>
  <c r="J8"/>
  <c r="F11" i="25"/>
  <c r="F9"/>
  <c r="C12" i="24"/>
  <c r="C10"/>
  <c r="I9"/>
  <c r="C11" i="47"/>
  <c r="C9"/>
  <c r="I8"/>
  <c r="H11"/>
  <c r="H9"/>
  <c r="D35" i="7"/>
  <c r="D33"/>
  <c r="J32"/>
  <c r="H35"/>
  <c r="H33"/>
  <c r="E11" i="33"/>
  <c r="K8"/>
  <c r="E9"/>
  <c r="K8" i="25"/>
  <c r="E11"/>
  <c r="E9"/>
  <c r="D12" i="24"/>
  <c r="D10"/>
  <c r="J9"/>
  <c r="F11" i="47"/>
  <c r="F9"/>
  <c r="G9" i="32"/>
  <c r="G11"/>
  <c r="D11" i="7"/>
  <c r="J8"/>
  <c r="D9"/>
  <c r="H11"/>
  <c r="H9"/>
  <c r="H12" i="24"/>
  <c r="H10"/>
  <c r="G11" i="47"/>
  <c r="G9"/>
  <c r="H11" i="32"/>
  <c r="H9"/>
  <c r="D11"/>
  <c r="J8"/>
  <c r="D9"/>
  <c r="K8" i="7"/>
  <c r="E9"/>
  <c r="E11"/>
  <c r="C10" i="27"/>
  <c r="C8"/>
  <c r="C26" s="1"/>
  <c r="R46" i="2" s="1"/>
  <c r="D8" i="27"/>
  <c r="D27" s="1"/>
  <c r="S47" i="2" s="1"/>
  <c r="D10" i="27"/>
  <c r="F9" i="33"/>
  <c r="F11"/>
  <c r="G33" i="7"/>
  <c r="G35"/>
  <c r="D11" i="25"/>
  <c r="D9"/>
  <c r="J8"/>
  <c r="H11"/>
  <c r="H9"/>
  <c r="E12" i="24"/>
  <c r="E10"/>
  <c r="K9"/>
  <c r="E11" i="47"/>
  <c r="E9"/>
  <c r="K8"/>
  <c r="I32" i="7"/>
  <c r="C33"/>
  <c r="C35"/>
  <c r="F35"/>
  <c r="F33"/>
  <c r="I8" i="33"/>
  <c r="C9"/>
  <c r="C11"/>
  <c r="I8" i="25"/>
  <c r="C11"/>
  <c r="C9"/>
  <c r="G11"/>
  <c r="G9"/>
  <c r="J8" i="47"/>
  <c r="D11"/>
  <c r="D9"/>
  <c r="C9" i="32"/>
  <c r="I8"/>
  <c r="C11"/>
  <c r="N72" i="33"/>
  <c r="C17" i="27"/>
  <c r="E13"/>
  <c r="E20"/>
  <c r="E16"/>
  <c r="D14"/>
  <c r="C13"/>
  <c r="D19"/>
  <c r="C19"/>
  <c r="D13"/>
  <c r="C16"/>
  <c r="C14"/>
  <c r="E15"/>
  <c r="D18"/>
  <c r="E14"/>
  <c r="P69" i="2" l="1"/>
  <c r="P68"/>
  <c r="E29" i="27"/>
  <c r="U48" i="2" s="1"/>
  <c r="E25" i="27"/>
  <c r="Q48" i="2" s="1"/>
  <c r="E28" i="27"/>
  <c r="T48" i="2" s="1"/>
  <c r="E24" i="27"/>
  <c r="D28"/>
  <c r="T47" i="2" s="1"/>
  <c r="D24" i="27"/>
  <c r="D29"/>
  <c r="U47" i="2" s="1"/>
  <c r="D25" i="27"/>
  <c r="Q47" i="2" s="1"/>
  <c r="C29" i="27"/>
  <c r="U46" i="2" s="1"/>
  <c r="C25" i="27"/>
  <c r="Q46" i="2" s="1"/>
  <c r="C28" i="27"/>
  <c r="T46" i="2" s="1"/>
  <c r="C24" i="27"/>
  <c r="E23"/>
  <c r="E27"/>
  <c r="S48" i="2" s="1"/>
  <c r="E30" i="27"/>
  <c r="V48" i="2" s="1"/>
  <c r="D30" i="27"/>
  <c r="V47" i="2" s="1"/>
  <c r="D26" i="27"/>
  <c r="R47" i="2" s="1"/>
  <c r="D23" i="27"/>
  <c r="C23"/>
  <c r="O46" i="2" s="1"/>
  <c r="C27" i="27"/>
  <c r="S46" i="2" s="1"/>
  <c r="C30" i="27"/>
  <c r="V46" i="2" s="1"/>
  <c r="P48"/>
  <c r="P47"/>
  <c r="P46"/>
  <c r="I35" i="7"/>
  <c r="I33"/>
  <c r="K12" i="24"/>
  <c r="K10"/>
  <c r="I9" i="32"/>
  <c r="I11"/>
  <c r="J9" i="47"/>
  <c r="J11"/>
  <c r="I9" i="33"/>
  <c r="I11"/>
  <c r="K11" i="47"/>
  <c r="K9"/>
  <c r="D44" i="27"/>
  <c r="AI47" i="2" s="1"/>
  <c r="D48" i="27"/>
  <c r="AM47" i="2" s="1"/>
  <c r="D43" i="27"/>
  <c r="G13" s="1"/>
  <c r="D47"/>
  <c r="AL47" i="2" s="1"/>
  <c r="D46" i="27"/>
  <c r="AK47" i="2" s="1"/>
  <c r="D50" i="27"/>
  <c r="AO47" i="2" s="1"/>
  <c r="D45" i="27"/>
  <c r="AJ47" i="2" s="1"/>
  <c r="D49" i="27"/>
  <c r="AN47" i="2" s="1"/>
  <c r="C47" i="27"/>
  <c r="AL46" i="2" s="1"/>
  <c r="C43" i="27"/>
  <c r="F13" s="1"/>
  <c r="C46"/>
  <c r="AK46" i="2" s="1"/>
  <c r="C50" i="27"/>
  <c r="AO46" i="2" s="1"/>
  <c r="C45" i="27"/>
  <c r="AJ46" i="2" s="1"/>
  <c r="C49" i="27"/>
  <c r="AN46" i="2" s="1"/>
  <c r="C44" i="27"/>
  <c r="AI46" i="2" s="1"/>
  <c r="C48" i="27"/>
  <c r="AM46" i="2" s="1"/>
  <c r="K11" i="7"/>
  <c r="K9"/>
  <c r="J11" i="32"/>
  <c r="J9"/>
  <c r="J9" i="7"/>
  <c r="J11"/>
  <c r="K9" i="25"/>
  <c r="K11"/>
  <c r="J33" i="7"/>
  <c r="J35"/>
  <c r="I11" i="47"/>
  <c r="I9"/>
  <c r="I12" i="24"/>
  <c r="I10"/>
  <c r="K33" i="7"/>
  <c r="K35"/>
  <c r="I11"/>
  <c r="I9"/>
  <c r="O48" i="2"/>
  <c r="E47" i="27"/>
  <c r="AL48" i="2" s="1"/>
  <c r="E44" i="27"/>
  <c r="AI48" i="2" s="1"/>
  <c r="E48" i="27"/>
  <c r="AM48" i="2" s="1"/>
  <c r="E43" i="27"/>
  <c r="H13" s="1"/>
  <c r="E45"/>
  <c r="AJ48" i="2" s="1"/>
  <c r="E49" i="27"/>
  <c r="AN48" i="2" s="1"/>
  <c r="E46" i="27"/>
  <c r="AK48" i="2" s="1"/>
  <c r="E50" i="27"/>
  <c r="AO48" i="2" s="1"/>
  <c r="K11" i="32"/>
  <c r="K9"/>
  <c r="I9" i="25"/>
  <c r="I11"/>
  <c r="J11"/>
  <c r="J9"/>
  <c r="J10" i="24"/>
  <c r="J12"/>
  <c r="K9" i="33"/>
  <c r="K11"/>
  <c r="J11"/>
  <c r="J9"/>
  <c r="C39" i="7"/>
  <c r="C38"/>
  <c r="E26" i="24"/>
  <c r="E30"/>
  <c r="E27"/>
  <c r="E31"/>
  <c r="E25"/>
  <c r="E28"/>
  <c r="E32"/>
  <c r="E29"/>
  <c r="E24" i="47"/>
  <c r="E26"/>
  <c r="E28"/>
  <c r="E30"/>
  <c r="E25"/>
  <c r="E27"/>
  <c r="E29"/>
  <c r="E31"/>
  <c r="E63" i="7"/>
  <c r="E67"/>
  <c r="E64"/>
  <c r="E68"/>
  <c r="E62"/>
  <c r="E65"/>
  <c r="E69"/>
  <c r="E66"/>
  <c r="D28" i="32"/>
  <c r="D26"/>
  <c r="D30"/>
  <c r="D27"/>
  <c r="D31"/>
  <c r="D24"/>
  <c r="D25"/>
  <c r="D29"/>
  <c r="C25" i="47"/>
  <c r="C29"/>
  <c r="C26"/>
  <c r="C30"/>
  <c r="C27"/>
  <c r="C31"/>
  <c r="C28"/>
  <c r="C24"/>
  <c r="C28" i="24"/>
  <c r="C32"/>
  <c r="C29"/>
  <c r="C25"/>
  <c r="C26"/>
  <c r="C30"/>
  <c r="C27"/>
  <c r="C31"/>
  <c r="C14" i="7"/>
  <c r="C62"/>
  <c r="C65"/>
  <c r="C69"/>
  <c r="C66"/>
  <c r="C15"/>
  <c r="C63"/>
  <c r="C67"/>
  <c r="C64"/>
  <c r="C68"/>
  <c r="C25" i="25"/>
  <c r="C29"/>
  <c r="C26"/>
  <c r="C30"/>
  <c r="C24"/>
  <c r="C27"/>
  <c r="C31"/>
  <c r="C28"/>
  <c r="D29" i="24"/>
  <c r="D26"/>
  <c r="D30"/>
  <c r="D27"/>
  <c r="D31"/>
  <c r="D28"/>
  <c r="D32"/>
  <c r="D25"/>
  <c r="E24" i="33"/>
  <c r="E26"/>
  <c r="E28"/>
  <c r="E30"/>
  <c r="E25"/>
  <c r="E27"/>
  <c r="E29"/>
  <c r="E31"/>
  <c r="E25" i="32"/>
  <c r="E30"/>
  <c r="E27"/>
  <c r="E31"/>
  <c r="E28"/>
  <c r="E29"/>
  <c r="E26"/>
  <c r="E24"/>
  <c r="D26" i="25"/>
  <c r="D30"/>
  <c r="D27"/>
  <c r="D31"/>
  <c r="D24"/>
  <c r="D28"/>
  <c r="D25"/>
  <c r="D29"/>
  <c r="D24" i="33"/>
  <c r="D26"/>
  <c r="D28"/>
  <c r="D30"/>
  <c r="D25"/>
  <c r="D27"/>
  <c r="D29"/>
  <c r="D31"/>
  <c r="C44" i="32"/>
  <c r="C44" i="25"/>
  <c r="C31" i="32"/>
  <c r="C28"/>
  <c r="C24"/>
  <c r="C25"/>
  <c r="C29"/>
  <c r="C26"/>
  <c r="C30"/>
  <c r="C27"/>
  <c r="D24" i="47"/>
  <c r="D26"/>
  <c r="D28"/>
  <c r="D30"/>
  <c r="D25"/>
  <c r="D27"/>
  <c r="D29"/>
  <c r="D31"/>
  <c r="C25" i="33"/>
  <c r="C29"/>
  <c r="C26"/>
  <c r="C30"/>
  <c r="C27"/>
  <c r="C31"/>
  <c r="C28"/>
  <c r="C24"/>
  <c r="D66" i="7"/>
  <c r="D63"/>
  <c r="D67"/>
  <c r="D64"/>
  <c r="D68"/>
  <c r="D65"/>
  <c r="D69"/>
  <c r="D62"/>
  <c r="E27" i="25"/>
  <c r="E31"/>
  <c r="E28"/>
  <c r="E25"/>
  <c r="E29"/>
  <c r="E26"/>
  <c r="E30"/>
  <c r="E24"/>
  <c r="C45" i="24"/>
  <c r="C83" i="7"/>
  <c r="I48" i="2"/>
  <c r="I46"/>
  <c r="C14" i="33"/>
  <c r="U15" i="2" l="1"/>
  <c r="Q15"/>
  <c r="T15"/>
  <c r="P15"/>
  <c r="S15"/>
  <c r="V15"/>
  <c r="R15"/>
  <c r="V20"/>
  <c r="R20"/>
  <c r="U20"/>
  <c r="T20"/>
  <c r="S20"/>
  <c r="O61"/>
  <c r="S61"/>
  <c r="V61"/>
  <c r="R61"/>
  <c r="U61"/>
  <c r="Q61"/>
  <c r="T61"/>
  <c r="P61"/>
  <c r="V65"/>
  <c r="T65"/>
  <c r="R65"/>
  <c r="P65"/>
  <c r="U65"/>
  <c r="S65"/>
  <c r="Q65"/>
  <c r="O65"/>
  <c r="R4"/>
  <c r="U4"/>
  <c r="Q4"/>
  <c r="T4"/>
  <c r="P4"/>
  <c r="O4"/>
  <c r="S4"/>
  <c r="V4"/>
  <c r="V62"/>
  <c r="T62"/>
  <c r="R62"/>
  <c r="P62"/>
  <c r="U62"/>
  <c r="S62"/>
  <c r="Q62"/>
  <c r="O62"/>
  <c r="T14"/>
  <c r="P14"/>
  <c r="S14"/>
  <c r="V14"/>
  <c r="R14"/>
  <c r="U14"/>
  <c r="Q14"/>
  <c r="O6"/>
  <c r="Q6"/>
  <c r="T6"/>
  <c r="S6"/>
  <c r="V6"/>
  <c r="R6"/>
  <c r="U6"/>
  <c r="P6"/>
  <c r="V63"/>
  <c r="T63"/>
  <c r="R63"/>
  <c r="P63"/>
  <c r="U63"/>
  <c r="S63"/>
  <c r="Q63"/>
  <c r="O63"/>
  <c r="S13"/>
  <c r="V13"/>
  <c r="R13"/>
  <c r="O13"/>
  <c r="U13"/>
  <c r="Q13"/>
  <c r="T13"/>
  <c r="P13"/>
  <c r="U19"/>
  <c r="T19"/>
  <c r="C53" i="7"/>
  <c r="S19" i="2"/>
  <c r="V19"/>
  <c r="R19"/>
  <c r="O64"/>
  <c r="S64"/>
  <c r="V64"/>
  <c r="R64"/>
  <c r="U64"/>
  <c r="Q64"/>
  <c r="T64"/>
  <c r="P64"/>
  <c r="T5"/>
  <c r="P5"/>
  <c r="O5"/>
  <c r="V5"/>
  <c r="R5"/>
  <c r="U5"/>
  <c r="Q5"/>
  <c r="S5"/>
  <c r="S21"/>
  <c r="V21"/>
  <c r="R21"/>
  <c r="U21"/>
  <c r="T21"/>
  <c r="V66"/>
  <c r="T66"/>
  <c r="R66"/>
  <c r="P66"/>
  <c r="U66"/>
  <c r="S66"/>
  <c r="Q66"/>
  <c r="O66"/>
  <c r="F17" i="27"/>
  <c r="F14"/>
  <c r="G14"/>
  <c r="G19"/>
  <c r="H20"/>
  <c r="H15"/>
  <c r="F19"/>
  <c r="F16"/>
  <c r="G18"/>
  <c r="H16"/>
  <c r="H14"/>
  <c r="AH48" i="2"/>
  <c r="AH46"/>
  <c r="AH47"/>
  <c r="E51" i="33"/>
  <c r="D16" i="47"/>
  <c r="D48" i="33"/>
  <c r="C44"/>
  <c r="C48"/>
  <c r="E18" i="47"/>
  <c r="D18"/>
  <c r="D50" i="33"/>
  <c r="D49"/>
  <c r="E16"/>
  <c r="D17" i="47"/>
  <c r="E17" i="27"/>
  <c r="D47" i="33"/>
  <c r="E20" i="47"/>
  <c r="E19" i="27"/>
  <c r="D20"/>
  <c r="E15" i="47"/>
  <c r="C46" i="33"/>
  <c r="F48" i="2"/>
  <c r="D18" i="33"/>
  <c r="D20"/>
  <c r="C16" i="47"/>
  <c r="E49" i="33"/>
  <c r="C17"/>
  <c r="D17" i="27"/>
  <c r="C19" i="33"/>
  <c r="D16"/>
  <c r="C47"/>
  <c r="C20" i="47"/>
  <c r="E19"/>
  <c r="D15"/>
  <c r="D15" i="33"/>
  <c r="C50"/>
  <c r="D21"/>
  <c r="E17" i="47"/>
  <c r="C20" i="33"/>
  <c r="D17"/>
  <c r="C15"/>
  <c r="C51"/>
  <c r="E47"/>
  <c r="C14" i="32"/>
  <c r="E18" i="27"/>
  <c r="L61" i="2"/>
  <c r="J62"/>
  <c r="G66"/>
  <c r="K61"/>
  <c r="I61"/>
  <c r="C21" i="24"/>
  <c r="D16"/>
  <c r="E17" i="7"/>
  <c r="C17" i="32"/>
  <c r="C43" i="7"/>
  <c r="E18" i="25"/>
  <c r="E19"/>
  <c r="E40" i="7"/>
  <c r="C19"/>
  <c r="C16"/>
  <c r="E14" i="25"/>
  <c r="E43" i="7"/>
  <c r="D18"/>
  <c r="C17"/>
  <c r="H63" i="2"/>
  <c r="K66"/>
  <c r="L62"/>
  <c r="D21" i="7"/>
  <c r="E21"/>
  <c r="E19"/>
  <c r="E49" i="25"/>
  <c r="C21" i="32"/>
  <c r="E15" i="7"/>
  <c r="E16"/>
  <c r="D18" i="24"/>
  <c r="D22"/>
  <c r="C19" i="32"/>
  <c r="D39" i="7"/>
  <c r="E15" i="24"/>
  <c r="I17" i="2"/>
  <c r="L66"/>
  <c r="H64"/>
  <c r="G61"/>
  <c r="G62"/>
  <c r="D15" i="24"/>
  <c r="E15" i="25"/>
  <c r="D21" i="24"/>
  <c r="E20" i="7"/>
  <c r="D49" i="47"/>
  <c r="C16" i="32"/>
  <c r="C16" i="24"/>
  <c r="E17" i="25"/>
  <c r="D15"/>
  <c r="D43" i="7"/>
  <c r="D44"/>
  <c r="C20" i="24"/>
  <c r="C20" i="7"/>
  <c r="D45"/>
  <c r="F61" i="2"/>
  <c r="I66"/>
  <c r="E18" i="7"/>
  <c r="D14"/>
  <c r="C18" i="24"/>
  <c r="E38" i="7"/>
  <c r="C22" i="24"/>
  <c r="D44" i="47"/>
  <c r="E18" i="24"/>
  <c r="E20" i="25"/>
  <c r="D45" i="47"/>
  <c r="C41" i="7"/>
  <c r="D42"/>
  <c r="D16" i="25"/>
  <c r="D15" i="7"/>
  <c r="D19" i="24"/>
  <c r="D46" i="25"/>
  <c r="M4" i="2"/>
  <c r="D19" i="32"/>
  <c r="C84" i="7"/>
  <c r="E49" i="32"/>
  <c r="C48" i="24"/>
  <c r="C51" i="47"/>
  <c r="D50" i="25"/>
  <c r="C44" i="47"/>
  <c r="E45" i="32"/>
  <c r="E47" i="24"/>
  <c r="E49" i="47"/>
  <c r="C52" i="24"/>
  <c r="G16" i="2"/>
  <c r="M47"/>
  <c r="J15"/>
  <c r="E47" i="32"/>
  <c r="D44" i="25"/>
  <c r="C46" i="24"/>
  <c r="D47" i="32"/>
  <c r="C51" i="25"/>
  <c r="F47" i="2"/>
  <c r="D45" i="25"/>
  <c r="D14" i="32"/>
  <c r="H14" i="2"/>
  <c r="D86" i="7"/>
  <c r="E51" i="47"/>
  <c r="E44" i="32"/>
  <c r="C46"/>
  <c r="D20"/>
  <c r="C45" i="25"/>
  <c r="E21" i="32"/>
  <c r="D87" i="7"/>
  <c r="E20" i="32"/>
  <c r="D82" i="7"/>
  <c r="L47" i="2"/>
  <c r="E45" i="24"/>
  <c r="D47"/>
  <c r="C48" i="25"/>
  <c r="E48"/>
  <c r="E48" i="24"/>
  <c r="E51" i="32"/>
  <c r="E46"/>
  <c r="D88" i="7"/>
  <c r="E52" i="24"/>
  <c r="C46" i="47"/>
  <c r="E46" i="25"/>
  <c r="E89" i="7"/>
  <c r="D47" i="25"/>
  <c r="F18" i="2"/>
  <c r="G15"/>
  <c r="C50" i="47"/>
  <c r="M17" i="2"/>
  <c r="D46" i="24"/>
  <c r="D49" i="32"/>
  <c r="L46" i="2"/>
  <c r="D83" i="7"/>
  <c r="D21" i="32"/>
  <c r="C47"/>
  <c r="C82" i="7"/>
  <c r="D16" i="32"/>
  <c r="E44" i="47"/>
  <c r="E45" i="25"/>
  <c r="L48" i="2"/>
  <c r="E85" i="7"/>
  <c r="J48" i="2"/>
  <c r="C48" i="47"/>
  <c r="D50" i="24"/>
  <c r="E83" i="7"/>
  <c r="D51" i="25"/>
  <c r="E48" i="47"/>
  <c r="D52" i="24"/>
  <c r="D49"/>
  <c r="E45" i="47"/>
  <c r="C47" i="24"/>
  <c r="J17" i="2"/>
  <c r="K16"/>
  <c r="M6"/>
  <c r="E46" i="47"/>
  <c r="D18" i="32"/>
  <c r="C45" i="33"/>
  <c r="C18" i="27"/>
  <c r="E14" i="33"/>
  <c r="E50"/>
  <c r="D14" i="47"/>
  <c r="F65" i="2" s="1"/>
  <c r="D19" i="33"/>
  <c r="E16" i="47"/>
  <c r="C20" i="27"/>
  <c r="M46" i="2" s="1"/>
  <c r="C14" i="47"/>
  <c r="C15" i="27"/>
  <c r="H46" i="2" s="1"/>
  <c r="F46"/>
  <c r="E48" i="33"/>
  <c r="D46"/>
  <c r="D14"/>
  <c r="F62" i="2" s="1"/>
  <c r="D45" i="33"/>
  <c r="D20" i="47"/>
  <c r="L65" i="2" s="1"/>
  <c r="D51" i="33"/>
  <c r="C17" i="47"/>
  <c r="I64" i="2" s="1"/>
  <c r="C15" i="47"/>
  <c r="E46" i="33"/>
  <c r="E18"/>
  <c r="J63" i="2" s="1"/>
  <c r="E15" i="33"/>
  <c r="E19"/>
  <c r="C49"/>
  <c r="E44"/>
  <c r="C16"/>
  <c r="H61" i="2" s="1"/>
  <c r="E20" i="33"/>
  <c r="L63" i="2" s="1"/>
  <c r="E21" i="33"/>
  <c r="D21" i="47"/>
  <c r="C21" i="33"/>
  <c r="C18" i="47"/>
  <c r="E17" i="33"/>
  <c r="I63" i="2" s="1"/>
  <c r="C21" i="47"/>
  <c r="D19"/>
  <c r="K65" i="2" s="1"/>
  <c r="D16" i="27"/>
  <c r="E45" i="33"/>
  <c r="C19" i="47"/>
  <c r="K64" i="2" s="1"/>
  <c r="E14" i="47"/>
  <c r="D15" i="27"/>
  <c r="H47" i="2" s="1"/>
  <c r="E21" i="47"/>
  <c r="C18" i="33"/>
  <c r="D44"/>
  <c r="M64" i="2"/>
  <c r="I65"/>
  <c r="G64"/>
  <c r="M62"/>
  <c r="H62"/>
  <c r="F64"/>
  <c r="E21" i="24"/>
  <c r="D38" i="7"/>
  <c r="E41"/>
  <c r="D20" i="24"/>
  <c r="K17" i="2" s="1"/>
  <c r="C16" i="25"/>
  <c r="D51" i="47"/>
  <c r="E20" i="24"/>
  <c r="C19" i="25"/>
  <c r="D50" i="47"/>
  <c r="C15" i="25"/>
  <c r="E16" i="24"/>
  <c r="D14" i="25"/>
  <c r="F14" i="2" s="1"/>
  <c r="C20" i="32"/>
  <c r="L4" i="2" s="1"/>
  <c r="I62"/>
  <c r="G65"/>
  <c r="L64"/>
  <c r="K63"/>
  <c r="J64"/>
  <c r="M66"/>
  <c r="E19" i="24"/>
  <c r="J18" i="2" s="1"/>
  <c r="D20" i="25"/>
  <c r="L14" i="2" s="1"/>
  <c r="C14" i="25"/>
  <c r="F13" i="2" s="1"/>
  <c r="C18" i="7"/>
  <c r="C21"/>
  <c r="D19" i="25"/>
  <c r="E42" i="7"/>
  <c r="C17" i="24"/>
  <c r="H16" i="2" s="1"/>
  <c r="E17" i="24"/>
  <c r="H18" i="2" s="1"/>
  <c r="E14" i="7"/>
  <c r="D18" i="25"/>
  <c r="J14" i="2" s="1"/>
  <c r="D17" i="25"/>
  <c r="C19" i="24"/>
  <c r="J16" i="2" s="1"/>
  <c r="J65"/>
  <c r="J61"/>
  <c r="H65"/>
  <c r="M63"/>
  <c r="G63"/>
  <c r="M61"/>
  <c r="E22" i="24"/>
  <c r="D46" i="47"/>
  <c r="C44" i="7"/>
  <c r="C18" i="32"/>
  <c r="D19" i="7"/>
  <c r="D17"/>
  <c r="C17" i="25"/>
  <c r="E21"/>
  <c r="D41" i="7"/>
  <c r="D16"/>
  <c r="C15" i="32"/>
  <c r="C42" i="7"/>
  <c r="E39"/>
  <c r="D40"/>
  <c r="D17" i="24"/>
  <c r="J66" i="2"/>
  <c r="F63"/>
  <c r="H66"/>
  <c r="K62"/>
  <c r="F66"/>
  <c r="M65"/>
  <c r="E45" i="7"/>
  <c r="C21" i="25"/>
  <c r="M13" i="2" s="1"/>
  <c r="E16" i="25"/>
  <c r="C20"/>
  <c r="C45" i="7"/>
  <c r="C40"/>
  <c r="C15" i="24"/>
  <c r="F16" i="2" s="1"/>
  <c r="D48" i="47"/>
  <c r="D47"/>
  <c r="C18" i="25"/>
  <c r="D20" i="7"/>
  <c r="D21" i="25"/>
  <c r="M14" i="2" s="1"/>
  <c r="E44" i="7"/>
  <c r="E48" i="32"/>
  <c r="K15" i="2"/>
  <c r="D46" i="32"/>
  <c r="E15"/>
  <c r="G6" i="2" s="1"/>
  <c r="C48" i="32"/>
  <c r="D45"/>
  <c r="D45" i="24"/>
  <c r="E47" i="25"/>
  <c r="C49"/>
  <c r="D89" i="7"/>
  <c r="E82"/>
  <c r="G18" i="2"/>
  <c r="G46"/>
  <c r="E44" i="25"/>
  <c r="C51" i="24"/>
  <c r="G48" i="2"/>
  <c r="E50" i="24"/>
  <c r="K5" i="2"/>
  <c r="L15"/>
  <c r="M16"/>
  <c r="K13"/>
  <c r="E49" i="24"/>
  <c r="E51"/>
  <c r="D49" i="25"/>
  <c r="G4" i="2"/>
  <c r="G17"/>
  <c r="C85" i="7"/>
  <c r="K18" i="2"/>
  <c r="M18"/>
  <c r="E84" i="7"/>
  <c r="M15" i="2"/>
  <c r="E50" i="32"/>
  <c r="D44"/>
  <c r="L17" i="2"/>
  <c r="D15" i="32"/>
  <c r="G5" i="2" s="1"/>
  <c r="G14"/>
  <c r="C47" i="25"/>
  <c r="F17" i="2"/>
  <c r="L13"/>
  <c r="C88" i="7"/>
  <c r="K4" i="2"/>
  <c r="C51" i="32"/>
  <c r="F15" i="2"/>
  <c r="E47" i="47"/>
  <c r="E14" i="32"/>
  <c r="C45"/>
  <c r="D48" i="24"/>
  <c r="C45" i="47"/>
  <c r="C47"/>
  <c r="D85" i="7"/>
  <c r="C50" i="25"/>
  <c r="D50" i="32"/>
  <c r="E51" i="25"/>
  <c r="C46"/>
  <c r="H15" i="2"/>
  <c r="C87" i="7"/>
  <c r="D48" i="25"/>
  <c r="E46" i="24"/>
  <c r="C86" i="7"/>
  <c r="K47" i="2"/>
  <c r="C49" i="24"/>
  <c r="C89" i="7"/>
  <c r="E17" i="32"/>
  <c r="H17" i="2"/>
  <c r="K46"/>
  <c r="H13"/>
  <c r="H4"/>
  <c r="E16" i="32"/>
  <c r="F4" i="2"/>
  <c r="J4"/>
  <c r="M48"/>
  <c r="E18" i="32"/>
  <c r="J47" i="2"/>
  <c r="D51" i="32"/>
  <c r="D17"/>
  <c r="K14" i="2"/>
  <c r="L18"/>
  <c r="D51" i="24"/>
  <c r="D48" i="32"/>
  <c r="G13" i="2"/>
  <c r="E19" i="32"/>
  <c r="D84" i="7"/>
  <c r="J13" i="2"/>
  <c r="E87" i="7"/>
  <c r="E88"/>
  <c r="C49" i="32"/>
  <c r="C50"/>
  <c r="G47" i="2"/>
  <c r="E86" i="7"/>
  <c r="J46" i="2"/>
  <c r="H48"/>
  <c r="C50" i="24"/>
  <c r="L16" i="2"/>
  <c r="E50" i="25"/>
  <c r="C49" i="47"/>
  <c r="K48" i="2"/>
  <c r="L5"/>
  <c r="E50" i="47"/>
  <c r="K6" i="2"/>
  <c r="L6"/>
  <c r="J6"/>
  <c r="F6"/>
  <c r="AN66" l="1"/>
  <c r="AJ66"/>
  <c r="AM64"/>
  <c r="AI66"/>
  <c r="AL66"/>
  <c r="AL64"/>
  <c r="AN64"/>
  <c r="AJ64"/>
  <c r="AK64"/>
  <c r="AI64"/>
  <c r="AK66"/>
  <c r="AO66"/>
  <c r="AM66"/>
  <c r="AO64"/>
  <c r="AK65"/>
  <c r="AI65"/>
  <c r="AL65"/>
  <c r="AM65"/>
  <c r="AJ65"/>
  <c r="AN65"/>
  <c r="AO65"/>
  <c r="AH66"/>
  <c r="AH65"/>
  <c r="AH64"/>
  <c r="H20" i="47"/>
  <c r="H16"/>
  <c r="H15"/>
  <c r="H18"/>
  <c r="H14"/>
  <c r="H17"/>
  <c r="H21"/>
  <c r="H19"/>
  <c r="G17"/>
  <c r="G15"/>
  <c r="G18"/>
  <c r="G14"/>
  <c r="G19"/>
  <c r="G16"/>
  <c r="G20"/>
  <c r="G21"/>
  <c r="F19"/>
  <c r="F18"/>
  <c r="F20"/>
  <c r="F16"/>
  <c r="F17"/>
  <c r="F15"/>
  <c r="F21"/>
  <c r="F14"/>
  <c r="AK63" i="2"/>
  <c r="AO61"/>
  <c r="AI63"/>
  <c r="AN61"/>
  <c r="AK61"/>
  <c r="AM61"/>
  <c r="AM63"/>
  <c r="AJ63"/>
  <c r="AJ61"/>
  <c r="AO62"/>
  <c r="AI62"/>
  <c r="AJ62"/>
  <c r="AK62"/>
  <c r="AL63"/>
  <c r="AM62"/>
  <c r="AN62"/>
  <c r="AL61"/>
  <c r="AN63"/>
  <c r="AL62"/>
  <c r="AI61"/>
  <c r="AO63"/>
  <c r="AH63"/>
  <c r="AH62"/>
  <c r="AH61"/>
  <c r="G14" i="33"/>
  <c r="H17"/>
  <c r="H15"/>
  <c r="H14"/>
  <c r="H19"/>
  <c r="H16"/>
  <c r="G21"/>
  <c r="G15"/>
  <c r="G16"/>
  <c r="G17"/>
  <c r="H18"/>
  <c r="G19"/>
  <c r="G20"/>
  <c r="H20"/>
  <c r="G18"/>
  <c r="H21"/>
  <c r="F21"/>
  <c r="F20"/>
  <c r="F17"/>
  <c r="F19"/>
  <c r="F16"/>
  <c r="F18"/>
  <c r="F15"/>
  <c r="F14"/>
  <c r="H18" i="27"/>
  <c r="H19"/>
  <c r="H17"/>
  <c r="G15"/>
  <c r="G16"/>
  <c r="G17"/>
  <c r="G20"/>
  <c r="F15"/>
  <c r="F20"/>
  <c r="F18"/>
  <c r="AM16" i="2"/>
  <c r="AM22" s="1"/>
  <c r="AL17"/>
  <c r="AL23" s="1"/>
  <c r="AO17"/>
  <c r="AO23" s="1"/>
  <c r="AM17"/>
  <c r="AM23" s="1"/>
  <c r="AN17"/>
  <c r="AN23" s="1"/>
  <c r="AL16"/>
  <c r="AL22" s="1"/>
  <c r="AO18"/>
  <c r="AO24" s="1"/>
  <c r="AK18"/>
  <c r="AK24" s="1"/>
  <c r="AK17"/>
  <c r="AK23" s="1"/>
  <c r="AN18"/>
  <c r="AN24" s="1"/>
  <c r="AL18"/>
  <c r="AL24" s="1"/>
  <c r="AM18"/>
  <c r="AM24" s="1"/>
  <c r="AO16"/>
  <c r="AO22" s="1"/>
  <c r="AN16"/>
  <c r="AN22" s="1"/>
  <c r="AK16"/>
  <c r="AK22" s="1"/>
  <c r="K22"/>
  <c r="J23"/>
  <c r="L22"/>
  <c r="L24"/>
  <c r="J24"/>
  <c r="H24"/>
  <c r="M23"/>
  <c r="H23"/>
  <c r="H22"/>
  <c r="K23"/>
  <c r="L23"/>
  <c r="M24"/>
  <c r="K24"/>
  <c r="M22"/>
  <c r="J22"/>
  <c r="I23"/>
  <c r="G23"/>
  <c r="G24"/>
  <c r="G22"/>
  <c r="F24"/>
  <c r="F23"/>
  <c r="F22"/>
  <c r="F17" i="24"/>
  <c r="F20"/>
  <c r="G19"/>
  <c r="G22"/>
  <c r="G20"/>
  <c r="G21"/>
  <c r="F19"/>
  <c r="H16"/>
  <c r="H22"/>
  <c r="H18"/>
  <c r="G18"/>
  <c r="G17"/>
  <c r="F16"/>
  <c r="H21"/>
  <c r="H19"/>
  <c r="H20"/>
  <c r="F22"/>
  <c r="F21"/>
  <c r="H17"/>
  <c r="F18"/>
  <c r="H15"/>
  <c r="G15"/>
  <c r="F15"/>
  <c r="AL21" i="2"/>
  <c r="AN21"/>
  <c r="AM21"/>
  <c r="AK21"/>
  <c r="AO19"/>
  <c r="AL19"/>
  <c r="AO21"/>
  <c r="AM19"/>
  <c r="AN20"/>
  <c r="AK20"/>
  <c r="AN19"/>
  <c r="AM20"/>
  <c r="AL20"/>
  <c r="AK19"/>
  <c r="AO20"/>
  <c r="S18"/>
  <c r="S24" s="1"/>
  <c r="T16"/>
  <c r="T22" s="1"/>
  <c r="T17"/>
  <c r="T23" s="1"/>
  <c r="U18"/>
  <c r="U24" s="1"/>
  <c r="S16"/>
  <c r="S22" s="1"/>
  <c r="U17"/>
  <c r="U23" s="1"/>
  <c r="S17"/>
  <c r="S23" s="1"/>
  <c r="R18"/>
  <c r="R24" s="1"/>
  <c r="R17"/>
  <c r="R23" s="1"/>
  <c r="V16"/>
  <c r="V22" s="1"/>
  <c r="V18"/>
  <c r="V24" s="1"/>
  <c r="T18"/>
  <c r="T24" s="1"/>
  <c r="V17"/>
  <c r="V23" s="1"/>
  <c r="R16"/>
  <c r="R22" s="1"/>
  <c r="U16"/>
  <c r="U22" s="1"/>
  <c r="C52" i="7"/>
  <c r="F52" s="1"/>
  <c r="AN15" i="2"/>
  <c r="AO14"/>
  <c r="AI15"/>
  <c r="AK14"/>
  <c r="AJ15"/>
  <c r="AL14"/>
  <c r="AJ13"/>
  <c r="AO15"/>
  <c r="AN13"/>
  <c r="AL15"/>
  <c r="AL13"/>
  <c r="AI13"/>
  <c r="AK13"/>
  <c r="AI14"/>
  <c r="AO13"/>
  <c r="AM14"/>
  <c r="AN14"/>
  <c r="AM13"/>
  <c r="AK15"/>
  <c r="AJ14"/>
  <c r="AM15"/>
  <c r="F14" i="25"/>
  <c r="H20"/>
  <c r="G21"/>
  <c r="H15"/>
  <c r="G17"/>
  <c r="H16"/>
  <c r="G18"/>
  <c r="F16"/>
  <c r="H21"/>
  <c r="F20"/>
  <c r="H18"/>
  <c r="F18"/>
  <c r="F15"/>
  <c r="F17"/>
  <c r="G15"/>
  <c r="F21"/>
  <c r="G19"/>
  <c r="G20"/>
  <c r="F19"/>
  <c r="H17"/>
  <c r="G16"/>
  <c r="H19"/>
  <c r="H14"/>
  <c r="G14"/>
  <c r="AN4" i="2"/>
  <c r="AM4"/>
  <c r="AL5"/>
  <c r="AO5"/>
  <c r="AK4"/>
  <c r="AM5"/>
  <c r="AN5"/>
  <c r="AJ6"/>
  <c r="AO6"/>
  <c r="AI4"/>
  <c r="AO4"/>
  <c r="AJ4"/>
  <c r="AN6"/>
  <c r="AK5"/>
  <c r="AK6"/>
  <c r="AI6"/>
  <c r="AI5"/>
  <c r="AM6"/>
  <c r="AL4"/>
  <c r="AJ5"/>
  <c r="AL6"/>
  <c r="AH6"/>
  <c r="AH5"/>
  <c r="G14" i="32"/>
  <c r="G18"/>
  <c r="G21"/>
  <c r="G19"/>
  <c r="G20"/>
  <c r="H16"/>
  <c r="H21"/>
  <c r="H14"/>
  <c r="H20"/>
  <c r="G17"/>
  <c r="H17"/>
  <c r="H15"/>
  <c r="G15"/>
  <c r="H19"/>
  <c r="G16"/>
  <c r="H18"/>
  <c r="F20"/>
  <c r="F19"/>
  <c r="F17"/>
  <c r="F15"/>
  <c r="F21"/>
  <c r="F16"/>
  <c r="F18"/>
  <c r="F14"/>
  <c r="AJ16" i="2"/>
  <c r="AJ22" s="1"/>
  <c r="AI21"/>
  <c r="AJ20"/>
  <c r="AH19"/>
  <c r="AI20"/>
  <c r="AI17"/>
  <c r="AI23" s="1"/>
  <c r="AI18"/>
  <c r="AI24" s="1"/>
  <c r="AJ17"/>
  <c r="AJ23" s="1"/>
  <c r="AH18"/>
  <c r="AH24" s="1"/>
  <c r="AH20"/>
  <c r="AJ21"/>
  <c r="AI19"/>
  <c r="AI16"/>
  <c r="AI22" s="1"/>
  <c r="AH14"/>
  <c r="AH16"/>
  <c r="AH22" s="1"/>
  <c r="AJ18"/>
  <c r="AJ24" s="1"/>
  <c r="AH15"/>
  <c r="AH21"/>
  <c r="AH17"/>
  <c r="AH23" s="1"/>
  <c r="AJ19"/>
  <c r="D53" i="7"/>
  <c r="G53" s="1"/>
  <c r="D58"/>
  <c r="G58" s="1"/>
  <c r="O20" i="2"/>
  <c r="O17"/>
  <c r="O23" s="1"/>
  <c r="P21"/>
  <c r="O18"/>
  <c r="O24" s="1"/>
  <c r="Q17"/>
  <c r="Q23" s="1"/>
  <c r="O16"/>
  <c r="O22" s="1"/>
  <c r="D52" i="7"/>
  <c r="G52" s="1"/>
  <c r="Q21" i="2"/>
  <c r="E56" i="7"/>
  <c r="H56" s="1"/>
  <c r="O15" i="2"/>
  <c r="P16"/>
  <c r="P22" s="1"/>
  <c r="C58" i="7"/>
  <c r="F58" s="1"/>
  <c r="Q18" i="2"/>
  <c r="Q24" s="1"/>
  <c r="D54" i="7"/>
  <c r="G54" s="1"/>
  <c r="D55"/>
  <c r="G55" s="1"/>
  <c r="D57"/>
  <c r="G57" s="1"/>
  <c r="E58"/>
  <c r="H58" s="1"/>
  <c r="P19" i="2"/>
  <c r="P17"/>
  <c r="P23" s="1"/>
  <c r="O19"/>
  <c r="E52" i="7"/>
  <c r="H52" s="1"/>
  <c r="E54"/>
  <c r="H54" s="1"/>
  <c r="AH13" i="2"/>
  <c r="Q20"/>
  <c r="E53" i="7"/>
  <c r="H53" s="1"/>
  <c r="C59"/>
  <c r="F59" s="1"/>
  <c r="C56"/>
  <c r="F56" s="1"/>
  <c r="E57"/>
  <c r="H57" s="1"/>
  <c r="P18" i="2"/>
  <c r="P24" s="1"/>
  <c r="E59" i="7"/>
  <c r="H59" s="1"/>
  <c r="D59"/>
  <c r="G59" s="1"/>
  <c r="C55"/>
  <c r="F55" s="1"/>
  <c r="D56"/>
  <c r="G56" s="1"/>
  <c r="Q19" i="2"/>
  <c r="C54" i="7"/>
  <c r="F54" s="1"/>
  <c r="Q16" i="2"/>
  <c r="Q22" s="1"/>
  <c r="O21"/>
  <c r="C57" i="7"/>
  <c r="F57" s="1"/>
  <c r="O14" i="2"/>
  <c r="P20"/>
  <c r="E55" i="7"/>
  <c r="H55" s="1"/>
  <c r="O47" i="2"/>
  <c r="AH4"/>
  <c r="I47"/>
  <c r="M5"/>
  <c r="I16"/>
  <c r="J19"/>
  <c r="I21"/>
  <c r="F20"/>
  <c r="I15"/>
  <c r="H6"/>
  <c r="H5"/>
  <c r="I18"/>
  <c r="J5"/>
  <c r="F5"/>
  <c r="G20"/>
  <c r="F21"/>
  <c r="K21"/>
  <c r="J20"/>
  <c r="I20"/>
  <c r="I14"/>
  <c r="M19"/>
  <c r="M21"/>
  <c r="H19"/>
  <c r="I4"/>
  <c r="I6"/>
  <c r="G19"/>
  <c r="J21"/>
  <c r="H20"/>
  <c r="I5"/>
  <c r="F19"/>
  <c r="K20"/>
  <c r="H21"/>
  <c r="M20"/>
  <c r="I13"/>
  <c r="L21"/>
  <c r="G21"/>
  <c r="I19"/>
  <c r="K19"/>
  <c r="L20"/>
  <c r="L19"/>
  <c r="I24" l="1"/>
  <c r="I22"/>
</calcChain>
</file>

<file path=xl/sharedStrings.xml><?xml version="1.0" encoding="utf-8"?>
<sst xmlns="http://schemas.openxmlformats.org/spreadsheetml/2006/main" count="2272" uniqueCount="484">
  <si>
    <t>Tree Planting</t>
  </si>
  <si>
    <t>Dry Detention and Extended Detention Basins</t>
  </si>
  <si>
    <t>Dry Detention Ponds/Hydrodynamic Structures</t>
  </si>
  <si>
    <t>Erosion and Sediment Control</t>
  </si>
  <si>
    <t>Urban Filtering Practices</t>
  </si>
  <si>
    <t>Urban Infiltration Practices with sand/vegetation</t>
  </si>
  <si>
    <t>Wetlands and Wet Ponds</t>
  </si>
  <si>
    <t>Urban Infiltration Practices without sand/vegetation</t>
  </si>
  <si>
    <t>Urban Nutrient Management</t>
  </si>
  <si>
    <t>Urban Growth Reduction</t>
  </si>
  <si>
    <t>Urban Stream Restoration</t>
  </si>
  <si>
    <t>Urban Forest Buffers</t>
  </si>
  <si>
    <t>Street Sweeping</t>
  </si>
  <si>
    <t>Bioswale</t>
  </si>
  <si>
    <t>Impervious Surface Reduction</t>
  </si>
  <si>
    <t>Forest Conservation</t>
  </si>
  <si>
    <t>Data Collection</t>
  </si>
  <si>
    <t>Value Selected for Cost Curve</t>
  </si>
  <si>
    <t>Median</t>
  </si>
  <si>
    <t>Average</t>
  </si>
  <si>
    <t>sq ft</t>
  </si>
  <si>
    <t>--</t>
  </si>
  <si>
    <t>New York City , NY</t>
  </si>
  <si>
    <t>Not site specific</t>
  </si>
  <si>
    <t>North Carolina</t>
  </si>
  <si>
    <t>UNHSC (2008)</t>
  </si>
  <si>
    <t>New Hampshire</t>
  </si>
  <si>
    <t>Seattle, WA</t>
  </si>
  <si>
    <t>Louisville, KY</t>
  </si>
  <si>
    <t>Fairfax County, VA</t>
  </si>
  <si>
    <t>CNT (2009)</t>
  </si>
  <si>
    <t>National - high</t>
  </si>
  <si>
    <t>National - mid</t>
  </si>
  <si>
    <t xml:space="preserve">National - low </t>
  </si>
  <si>
    <t>Lifetime (Years)</t>
  </si>
  <si>
    <t>Units</t>
  </si>
  <si>
    <t>Pennsylvania</t>
  </si>
  <si>
    <t>Catchment Area (acre)</t>
  </si>
  <si>
    <t>BMP Area (acre)</t>
  </si>
  <si>
    <t>BMP</t>
  </si>
  <si>
    <t>EPA (2005)</t>
  </si>
  <si>
    <t>WERF tool as cited in CNT (2009)</t>
  </si>
  <si>
    <t>PlaNYC Sustainable Stormwater Management Plan (2008)</t>
  </si>
  <si>
    <t>New York City, NY</t>
  </si>
  <si>
    <t>City of Portland, Bureau of Environmental Services, Willamette Watershed Program (2005) as cited in CNT (2009)</t>
  </si>
  <si>
    <t>Portland, OR</t>
  </si>
  <si>
    <t>Annualized Capital Cost ($)</t>
  </si>
  <si>
    <t>WSSI LID (2007) as cited in CNT (2009)</t>
  </si>
  <si>
    <t>SSMP Recent Project Cost Summary (2007) as cited in CNT (2009)</t>
  </si>
  <si>
    <t>LID Center, Inc. (2008)</t>
  </si>
  <si>
    <t>GVNC (2009)</t>
  </si>
  <si>
    <t>CCI-Based Adjustment Factors</t>
  </si>
  <si>
    <t>Component</t>
  </si>
  <si>
    <t>O&amp;M ($/yr)</t>
  </si>
  <si>
    <t>Total Annual Cost ($/ac/yr)</t>
  </si>
  <si>
    <t>Chesapeake Bay WIP BMPs</t>
  </si>
  <si>
    <t>BMP Definition (from Chesapeake Bay Watershed Model Documentation)</t>
  </si>
  <si>
    <t>Watershed</t>
  </si>
  <si>
    <t>Delaware</t>
  </si>
  <si>
    <t>New York</t>
  </si>
  <si>
    <t>Virginia</t>
  </si>
  <si>
    <t>Dry extended detention (ED) basins are depressions created by excavation or berm construction that temporarily store runoff and release it slowly via surface flow or groundwater infiltration following storms. Dry ED basins are designed to dry out between storm events, in contrast with wet ponds, which contain standing water permanently. As such, they are similar in construction and function to dry detention basins, except that the duration of detention of stormwater is designed to be longer, theoretically improving treatment effectiveness.</t>
  </si>
  <si>
    <t>Dry Detention Ponds are depressions or basins created by excavation or berm construction that temporarily store runoff and release it slowly via surface flow or groundwater infiltration following storms. Hydrodynamic Structures are devices designed to improve quality of stormwater using features such as swirl concentrators, grit chambers, oil barriers, baffles, micropools, and absorbent pads that are designed to remove sediments, nutrients, metals, organic chemicals, or oil and grease from urban runoff.</t>
  </si>
  <si>
    <t>Erosion and sediment control practices protect water resources from sediment pollution and increases in runoff associated with land development activities. By retaining soil on-site, sediment and attached nutrients are prevented from leaving disturbed areas and polluting streams.</t>
  </si>
  <si>
    <t>Practices that capture and temporarily store runoff and pass it through a filter bed of either sand or an organic media.  There are various sand filter designs, such as above ground, below ground, perimeter, etc.  An organic media filter uses another medium besides sand to enhance pollutant removal for many compounds due to the increased cation exchange capacity achieved by increasing the organic matter.  These systems require yearly inspection and maintenance to receive pollutant reduction credit.</t>
  </si>
  <si>
    <t>Change from urban to non-urban landuse in forecasted conditions.</t>
  </si>
  <si>
    <t>Stream restoration in urban areas is used to restore the urban stream ecosystem by restoring the natural hydrology and landscape of a stream, help improve habitat and water quality conditions in degraded streams.</t>
  </si>
  <si>
    <t>An area of trees at least 35 feet wide on one side of a stream, usually accompanied by trees, shrubs and other vegetation that is adjacent to a body of water.  The riparian area is managed to maintain the integrity of stream channels and shorelines, to reduce the impacts of upland sources of pollution by trapping, filtering, and converting sediments, nutrients, and other chemicals.</t>
  </si>
  <si>
    <t>An excavated pit backfilled with engineered media, topsoil, mulch, and vegetation.  These are planting areas installed in shallow basins in which the storm water runoff is temporarily ponded and then treated by filtering through the bed components, and through biological and biochemical reactions within the soil matrix and around the root zones of the plants.</t>
  </si>
  <si>
    <t>With a bioswale the load is reduced because unlike other open channel designs there is now treatment through the soil.  A bioswale is designed to function as a bioretention area.</t>
  </si>
  <si>
    <t>Reducing impervious surfaces to promote infiltration and percolation of runoff storm water.</t>
  </si>
  <si>
    <t>A water impoundment structure that intercepts stormwater runoff then releases it to an open water system at a specified flow rate.  These structures retain a permanent pool and usually have retention times sufficient to allow settlement of some portion of the intercepted sediments and attached nutrients/toxics. There is little or no vegetation living within the pooled area nor are outfalls directed through vegetated areas prior to open water release.</t>
  </si>
  <si>
    <t>A depression to form an infiltration basin where sediment is trapped and water infiltrates the soil.  No underdrains.</t>
  </si>
  <si>
    <t xml:space="preserve">A depression to form an infiltration basin where sediment is trapped and water infiltrates the soil.  No underdrains.  Design specifications require infiltration basins and trenches to be build in good soil, they are not constructed on poor soils, such as C and D soil types.  Engineers are required to test the soil before approved to build is issued.  To receive credit over the longer term, jurisdictions must conduct yearly inspections to determine if the basin or trench is still infiltrating runoff.  </t>
  </si>
  <si>
    <t>Reducing fertilizer to grass lawns and other urban areas. Based on public education and awareness, targeting suburban residences and businesses, with emphasis on reducing excessive fertilizer use.</t>
  </si>
  <si>
    <t>Street sweeping and storm drain cleanout practices rank among the oldest practices used by communities.</t>
  </si>
  <si>
    <t>Location</t>
  </si>
  <si>
    <t>References</t>
  </si>
  <si>
    <r>
      <t>*</t>
    </r>
    <r>
      <rPr>
        <sz val="9"/>
        <color theme="1"/>
        <rFont val="Arial"/>
        <family val="2"/>
      </rPr>
      <t>All costs are in 2008 dollars.</t>
    </r>
  </si>
  <si>
    <t>UNHSC (2008) [4]</t>
  </si>
  <si>
    <t>Wossink &amp; Hunt: Land opportunity costs not included; this study estimates average values for: undeveloped land for commercial use: $5/sq ft; undeveloped land for residential use: $1.15/sq ft; and undeveloped land with requirement for open space: $0/sq ft. Construction costs: 13,909X0.672. Total O&amp;M costs for 20-year lifetime: 9,202X0.269. Exhibits economies of scale. Equations are based on BMP costs from &gt;40 stormwater BMPs</t>
  </si>
  <si>
    <t>LID Center (2008) [1]</t>
  </si>
  <si>
    <t>MSD (2009) [2]</t>
  </si>
  <si>
    <t xml:space="preserve">
</t>
  </si>
  <si>
    <t>SPU (2009) [3]</t>
  </si>
  <si>
    <t>Wossink &amp; Hunt (2003) [5]</t>
  </si>
  <si>
    <t>Wossink &amp; Hunt (2003) [6]</t>
  </si>
  <si>
    <t>Wossink &amp; Hunt (2003) [7]</t>
  </si>
  <si>
    <t>Wossink &amp; Hunt (2003) [8]</t>
  </si>
  <si>
    <t>1. Underdrains recommended in areas with low subsoil permeability. Costs based on removal for basins that capture 0.5" of runoff with a 50% contingency added to the installation and replacement costs to roughly account for the additional excavation and materials needed to provide storage for larger storm events (e.g. 2-year, 2-hour and/or the 10-year, 2-hour storm). Excavated to a depth of 1'-3'</t>
  </si>
  <si>
    <t xml:space="preserve">2. Capital cost is $0.09/gal and O&amp;M calculated as 6% of total capital cost (based Erikson et al. 2009). Engineered soil and gravel base layer are 12"-24" deep per layer.   </t>
  </si>
  <si>
    <t>3. O&amp;M costs during first 3 years is $1.45/sq (establishment phase); thereafter costs are $0.70/sq ft (mature phase) with a replacement allowance of 5.25% of capital cost annually. Exhibits economies of scale: cost multiplier of 0.915 for second block (660 linear feet per block) and about 0.95 for each additional block. Capital costs include construction, planning, and design costs. Design and planning costs were provided as a range from 35% - 140% of capital cost. WERF (2009) cites design cost as 3% of capital cost; here used lowest value of cited range by authors, i.e., 35%. "Replacement Costs" were specified but are excluded here because these costs are not applicable in life cycle cost calculations.</t>
  </si>
  <si>
    <t>4. O&amp;M calculated as 6% of total capital cost (based on Erikson et al. 2009). Components: sedimentation forebay and 30’’ thick bioretention filtration basin (26 ft deep)</t>
  </si>
  <si>
    <t xml:space="preserve">5.  Clay soil application. Residential with CN= 80-90. Construction costs: 10,162X1.088. Total O&amp;M costs for 20-year lifetime: 3,437X0.152  </t>
  </si>
  <si>
    <t xml:space="preserve">6. Clay soil application. Construction costs: 10,162X1.088. Total O&amp;M costs for 20-year lifetime: 3,437X0.152. </t>
  </si>
  <si>
    <t xml:space="preserve">7. Sandy soil application. Construction costs: 2,861X0.438. Total O&amp;M costs for 20-year lifetime: 3,437X0.152. </t>
  </si>
  <si>
    <t>8. Sandy soil application. Construction costs: 2,861X0.438. Total O&amp;M costs for 20-year lifetime: 3,437X0.152.</t>
  </si>
  <si>
    <r>
      <t>*</t>
    </r>
    <r>
      <rPr>
        <sz val="9"/>
        <color theme="1"/>
        <rFont val="Arial"/>
        <family val="2"/>
      </rPr>
      <t>WERF and MSD costs are for a single family home rain garden and rain garden around a parking lot, respectively.</t>
    </r>
  </si>
  <si>
    <t>9. High-density urban sidewalk application.</t>
  </si>
  <si>
    <t xml:space="preserve">WERF (2009) </t>
  </si>
  <si>
    <t>NYC (2008) [9]</t>
  </si>
  <si>
    <t>Costs taken from the "Comparison of BMP-Strategy Costs VA and MD 6_22_04 do not include sources and should not be used unless substantiated.</t>
  </si>
  <si>
    <t>Given that only one data point was found for the Bay which is higher than the national high as cited by CNT (2009) but urban areas (i.e., Seattle, Louisville, NYC) are in the high range, we selected the high estimate cited by CNT (2009).</t>
  </si>
  <si>
    <t>O&amp;M ($/sq ft)</t>
  </si>
  <si>
    <t>Total Annual Cost ($/sq ft)</t>
  </si>
  <si>
    <t>Annualized Capital Cost ($/sq ft)</t>
  </si>
  <si>
    <t>If there are two spreadsheets for a given BMP that means that the 2010 spreadsheet was not deleted after reformatting. This is due to the fact that some spreadsheets were labeled grey and tended to have comments in them that need to be checked before unit costs are established.</t>
  </si>
  <si>
    <t>City of Portland, Bureau of Environmental Services, Willamette Watershed Program (2005) as cited in CNT (2009) [1]</t>
  </si>
  <si>
    <t>1. O&amp;M Costs are in linear feet.</t>
  </si>
  <si>
    <t>Bioretention</t>
  </si>
  <si>
    <t>Definition: Depressions created by excavation or berm construction that temporarily store runoff and release it slowly via surface flow or groundwater infiltration following storms. Dry ED basins are designed to dry out between storm events, in contrast with wet ponds, which contain standing water permanently. As such, they are similar in construction and function to dry detention basins, except that the duration of detention of stormwater is designed to be longer, theoretically improving treatment effectiveness.</t>
  </si>
  <si>
    <t>Annualization rate</t>
  </si>
  <si>
    <t>Urban Grass Buffers</t>
  </si>
  <si>
    <t>Retrofit Stormwater Management</t>
  </si>
  <si>
    <t>Costs are updated to 2010 dollars.</t>
  </si>
  <si>
    <t>Annual costs ($/acre/yr)</t>
  </si>
  <si>
    <t>PA DEP (2004) [1]</t>
  </si>
  <si>
    <t>1. In its 2004 tributary strategy, PA DEP (2004) indicates that there would be no capital, O&amp;M, or opportunity/land rental costs associated with this BMP.</t>
  </si>
  <si>
    <t>NA</t>
  </si>
  <si>
    <t>Definition: Linear strips of grass or other non-woody vegetation maintained between the edge of fields and streams, rivers or tidal waters that help filter nutrients, sediment and other pollutant from runoff.  The recommended buffer width for riparian forests buffers (agriculture) is 100 feet, with a 35 feet minimum width required.</t>
  </si>
  <si>
    <t xml:space="preserve">Component </t>
  </si>
  <si>
    <t>Estimate as weighted average of $0/acre/year assuming that any incremental costs associated with development plans that conserve forested acres are offset by cost savings and incremental property values and costs of forest buffers. MD DNR (1999) indicates that 80% of forest conservation comes from retained forest acres on developed sites and less than 20% of acres are planted.</t>
  </si>
  <si>
    <t xml:space="preserve">Maryland Department of Natural Resources (MD DNR). 1999. The Forest Conservation Act: A Five Year Review.
</t>
  </si>
  <si>
    <t xml:space="preserve">EPA. 2003. Economic Analyses of Nutrient and Sediment Reduction Actions to Restore Chesapeake Bay Water Quality.
</t>
  </si>
  <si>
    <t>Based on the Maryland Forest Conservation Act, developers must maintain at least 20% of a development site in trees (forest condition).   This is a preventative type of BMP which alters the rate of urban conversion.</t>
  </si>
  <si>
    <t>Definition: Based on the Maryland Forest Conservation Act, developers must maintain at least 20% of a development site in trees (forest condition).   This is a preventative type of BMP which alters the rate of urban conversion.</t>
  </si>
  <si>
    <t>Year</t>
  </si>
  <si>
    <t>Factor</t>
  </si>
  <si>
    <t>Bare Construction to Unregulated Pervious Urban Land</t>
  </si>
  <si>
    <t>Forest Buffers</t>
  </si>
  <si>
    <t>Hydrodynamic Structures (New)</t>
  </si>
  <si>
    <t>Dry Extended Detention Ponds (New)</t>
  </si>
  <si>
    <t>Dry Extended Detention Ponds (Retrofit)</t>
  </si>
  <si>
    <t>Infiltration Practices w/o Sand, Veg. (New)</t>
  </si>
  <si>
    <t>Infiltration Practices w/ Sand, Veg. (New)</t>
  </si>
  <si>
    <t>Filtering Practices (Sand, above ground)</t>
  </si>
  <si>
    <t>Filtering Practices (Sand, below ground)</t>
  </si>
  <si>
    <t>Dry Detention Ponds (New)</t>
  </si>
  <si>
    <t>Impervious Urban Surface Reduction</t>
  </si>
  <si>
    <t>Grass Buffers</t>
  </si>
  <si>
    <t>Wet Ponds and Wetlands (New)</t>
  </si>
  <si>
    <t>Wet Ponds and Wetlands (Retrofit)</t>
  </si>
  <si>
    <t>O&amp;M</t>
  </si>
  <si>
    <t>Permeable Pavement w/o Sand, Veg. (New)</t>
  </si>
  <si>
    <t>Permeable Pavement w/ Sand, Veg. (New)</t>
  </si>
  <si>
    <t>Bioswale (New)</t>
  </si>
  <si>
    <t>Vegetated Open Channels</t>
  </si>
  <si>
    <t>Dennis King</t>
  </si>
  <si>
    <t>Pre-Construction Costs ($/ac)</t>
  </si>
  <si>
    <t>Construction Costs ($/ac)</t>
  </si>
  <si>
    <t>Average County Implementation Costs ($)</t>
  </si>
  <si>
    <t>Annual Routine Maintenance</t>
  </si>
  <si>
    <t xml:space="preserve">Average Annual Intermittent Maintenance
</t>
  </si>
  <si>
    <t>Average Annual Intermittent Maintenance</t>
  </si>
  <si>
    <t xml:space="preserve">Total annual cost ($/ac/yr) </t>
  </si>
  <si>
    <t xml:space="preserve">O&amp;M cost ($/ac/yr) </t>
  </si>
  <si>
    <t>Dennis King (retrofit)</t>
  </si>
  <si>
    <t>Dennis King Bioswale</t>
  </si>
  <si>
    <t>% Project Acres Developable</t>
  </si>
  <si>
    <t xml:space="preserve">Land/Opportunity cost ($/ac) </t>
  </si>
  <si>
    <t>West Virginia</t>
  </si>
  <si>
    <t>Index Value</t>
  </si>
  <si>
    <t>Medium O&amp;M</t>
  </si>
  <si>
    <t>High O&amp;M</t>
  </si>
  <si>
    <t>Low O&amp;M</t>
  </si>
  <si>
    <t>Variable/Assumption</t>
  </si>
  <si>
    <t>Value</t>
  </si>
  <si>
    <t>Land Cost per Developable Acre - Watershed</t>
  </si>
  <si>
    <t>Land Cost per Developable Acre - District of Columbia</t>
  </si>
  <si>
    <t>Land Cost per Developable Acre - Maryland</t>
  </si>
  <si>
    <t>Land Cost per Developable Acre - Delaware</t>
  </si>
  <si>
    <t>Land Cost per Developable Acre - New York</t>
  </si>
  <si>
    <t>Land Cost per Developable Acre - Pennsylvania</t>
  </si>
  <si>
    <t>Land Cost per Developable Acre - Virginia</t>
  </si>
  <si>
    <t>Land Cost per Developable Acre - West Virginia</t>
  </si>
  <si>
    <t>New</t>
  </si>
  <si>
    <t>Retrofit</t>
  </si>
  <si>
    <t>Source: King and Hagan (2011)</t>
  </si>
  <si>
    <t>Total Annual Cost ($/acre/yr)</t>
  </si>
  <si>
    <t>% of Land Area</t>
  </si>
  <si>
    <t>Life of BMP (years)</t>
  </si>
  <si>
    <t xml:space="preserve">Definition: </t>
  </si>
  <si>
    <t>% Land Area</t>
  </si>
  <si>
    <t>Dry Detention Ponds</t>
  </si>
  <si>
    <t>Hydrodynamic Structure</t>
  </si>
  <si>
    <t>Souce: King and Hagan (2011)</t>
  </si>
  <si>
    <t>Construction Costs ($/acre)</t>
  </si>
  <si>
    <t>Pre-Construction Costs ($/acre)</t>
  </si>
  <si>
    <t>O&amp;M cost ($/acre/yr) [4]</t>
  </si>
  <si>
    <t>Dry Det and Extended Det - Retrofit</t>
  </si>
  <si>
    <t>Wetlands and Wet Ponds - Retrofit</t>
  </si>
  <si>
    <t>Pre-Construction</t>
  </si>
  <si>
    <t>Pre-Construction Cost 1</t>
  </si>
  <si>
    <t>Pre-Construction Cost 2</t>
  </si>
  <si>
    <t>Pre-Construction Cost 3</t>
  </si>
  <si>
    <t>Pre-Construction Cost 4</t>
  </si>
  <si>
    <t>Pre-Construction Cost 5</t>
  </si>
  <si>
    <t>Pre-Construction Cost 6</t>
  </si>
  <si>
    <t>Bioretention (New-Suburban)</t>
  </si>
  <si>
    <t>Bioretention (Retrofit-Highly Urban)</t>
  </si>
  <si>
    <t>High O&amp;M 2</t>
  </si>
  <si>
    <t>none</t>
  </si>
  <si>
    <t>Intermittent O&amp;M Low</t>
  </si>
  <si>
    <t>Intermittent O&amp;M High</t>
  </si>
  <si>
    <t>O&amp;M Intermittent</t>
  </si>
  <si>
    <t>Intermittent O&amp;M Medium</t>
  </si>
  <si>
    <t>Med</t>
  </si>
  <si>
    <t>Low</t>
  </si>
  <si>
    <t>High</t>
  </si>
  <si>
    <t>Low O&amp;M 3</t>
  </si>
  <si>
    <t>Low O&amp;M 2</t>
  </si>
  <si>
    <t>Low O&amp;M 4</t>
  </si>
  <si>
    <t>Low O&amp;M 5</t>
  </si>
  <si>
    <t>Construction Costs</t>
  </si>
  <si>
    <t>Dry Detention Ponds Definition:  Depressions or basins created by excavation or berm construction that temporarily store runoff and release it slowly via surface flow or groundwater infiltration following storms.</t>
  </si>
  <si>
    <t>Hydrodynamic Structures Definition:  Devices designed to improve quality of stormwater using features such as swirl concentrators, grit chambers, oil barriers, baffles, micropools, and absorbent pads that are designed to remove sediments, nutrients, metals, organic chemicals, or oil and grease from urban runoff.</t>
  </si>
  <si>
    <t>Definition: Protect water resources from sediment pollution and increases in runoff associated with land development activities. By retaining soil on-site, sediment and attached nutrients are prevented from leaving disturbed areas and polluting streams.</t>
  </si>
  <si>
    <t>Definition: Practices that capture and temporarily store runoff and pass it through a filter bed of either sand or an organic media.  These systems require yearly inspection and maintenance to receive pollutant reduction credit.</t>
  </si>
  <si>
    <t xml:space="preserve">Definition: A depression to form an infiltration basin where sediment is trapped and water infiltrates the soil.  No underdrains. To receive credit over the longer term, jurisdictions must conduct yearly inspections to determine if the basin or trench is still infiltrating runoff. </t>
  </si>
  <si>
    <t>Definition: A water impoundment structure that intercepts stormwater runoff then releases it to an open water system at a specified flow rate.  These structures retain a permanent pool and usually have retention times sufficient to allow settlement of some portion of the intercepted sediments and attached nutrients/toxics. There is little or no vegetation living within the pooled area nor are outfalls directed through vegetated areas prior to open water release.</t>
  </si>
  <si>
    <t>Definition: Reducing fertilizer to grass lawns and other urban areas. Based on public education and awareness, targeting suburban residences and businesses, with emphasis on reducing excessive fertilizer use.</t>
  </si>
  <si>
    <t>Urban tree planting is planting trees on urban pervious areas at a rate that would produce a forest-like condition over time.  The intent of the planting is to eventually convert the urban area to forest.  If the trees are planted as part of the urban landscape, with no intention to covert the area to forest, then this would not count as urban tree planting.</t>
  </si>
  <si>
    <t>Definition: Urban tree planting is planting trees on urban pervious areas at a rate that would produce a forest-like condition over time. If the trees are planted as part of the urban landscape, with no intention to covert the area to forest, then this would not count as urban tree planting.</t>
  </si>
  <si>
    <t>Definition: Change from urban to non-urban landuse in forecasted conditions.</t>
  </si>
  <si>
    <t>Definition: Used to restore the urban stream ecosystem by restoring the natural hydrology and landscape of a stream, help improve habitat and water quality conditions in degraded streams.</t>
  </si>
  <si>
    <t>Definition: An area of trees at least 35 feet wide on one side of a stream, usually accompanied by trees, shrubs and other vegetation that is adjacent to a body of water.</t>
  </si>
  <si>
    <t>Linear strips of grass or other non-woody vegetation maintained between the edge of fields and streams, rivers or tidal waters that help filter nutrients, sediment and other pollutant from runoff.  The recommended buffer width for riparian forests buffers (agriculture) is 100 feet, with a 35 feet minimum width required.</t>
  </si>
  <si>
    <t>Definition: Street sweeping and storm drain cleanout practices rank among the oldest practices used by communities.</t>
  </si>
  <si>
    <t>Definition: Reducing impervious surfaces to promote infiltration and percolation of runoff storm water.</t>
  </si>
  <si>
    <t>Based on costs from King and Hagan (2011) converted to $/acre treated/year</t>
  </si>
  <si>
    <t>Based on costs from King and Hagan (2011) converted to $/acre of BMP/year</t>
  </si>
  <si>
    <t>DC % Impervious Urban Land</t>
  </si>
  <si>
    <t>DE % Impervious Urban Land</t>
  </si>
  <si>
    <t>MD % Impervious Urban Land</t>
  </si>
  <si>
    <t>NY % Impervious Urban Land</t>
  </si>
  <si>
    <t>PA % Impervious Urban Land</t>
  </si>
  <si>
    <t>VA % Impervious Urban Land</t>
  </si>
  <si>
    <t>WV % Impervious Urban Land</t>
  </si>
  <si>
    <t>Watershed % Impervious Urban Land</t>
  </si>
  <si>
    <t>Pre-Construction Costs ($/acre imperv)</t>
  </si>
  <si>
    <t>Construction Costs ($/acre imperv)</t>
  </si>
  <si>
    <t>Total Annual Cost ($/acre/yr) [1]</t>
  </si>
  <si>
    <t>1. Converted to total acres treated from impervious acres treated based on percent of impervious land in each jurisdiction.</t>
  </si>
  <si>
    <t>Total O&amp;M ($/acre imperv/yr)</t>
  </si>
  <si>
    <t>O&amp;M ($/acre imperv/yr)</t>
  </si>
  <si>
    <t>Feet of restoration per 1 acre of impervious area</t>
  </si>
  <si>
    <t>Total Annual Cost ($/feet/yr) [1]</t>
  </si>
  <si>
    <t>1. Converted from $/acre impervious to $/feet of BMP by assuming that 100 feet of stream restoration treats 1 acre of impervious land area (King and Hagan, 2011).</t>
  </si>
  <si>
    <t>Bioretention Pond - Retrofit</t>
  </si>
  <si>
    <t>Total O&amp;M cost ($/acre imperv/yr)</t>
  </si>
  <si>
    <t>$/acre treated/yr</t>
  </si>
  <si>
    <t>$/acre BMP installed/yr</t>
  </si>
  <si>
    <t>Low End</t>
  </si>
  <si>
    <t>High End</t>
  </si>
  <si>
    <t>Land Use:</t>
  </si>
  <si>
    <t>Yes</t>
  </si>
  <si>
    <t>Minimal</t>
  </si>
  <si>
    <t>Construction Cost (2006 dollars/impervious acre)</t>
  </si>
  <si>
    <t>Construction Cost (2010 dollars/impervious acre)</t>
  </si>
  <si>
    <t>Low D&amp;E</t>
  </si>
  <si>
    <t>High D&amp;E</t>
  </si>
  <si>
    <t>Median D&amp;E</t>
  </si>
  <si>
    <t>Design and Engineering (2010 dollars/impervious acre)</t>
  </si>
  <si>
    <t>Operations and Maintenace (2010 dollars/impervious acre)</t>
  </si>
  <si>
    <t>Median O&amp;M</t>
  </si>
  <si>
    <r>
      <t>Construction Cost (2006 dollars/impervious acre)</t>
    </r>
    <r>
      <rPr>
        <vertAlign val="superscript"/>
        <sz val="11"/>
        <color theme="1"/>
        <rFont val="Calibri"/>
        <family val="2"/>
        <scheme val="minor"/>
      </rPr>
      <t>1</t>
    </r>
  </si>
  <si>
    <t>DC</t>
  </si>
  <si>
    <t>DE</t>
  </si>
  <si>
    <t>MD</t>
  </si>
  <si>
    <t>NY</t>
  </si>
  <si>
    <t>PA</t>
  </si>
  <si>
    <t>VA</t>
  </si>
  <si>
    <t>WV</t>
  </si>
  <si>
    <t>Source: Center for Watershed Protection, 2007</t>
  </si>
  <si>
    <t>DRY_DETENTION</t>
  </si>
  <si>
    <t>WETLANDS</t>
  </si>
  <si>
    <t>BIORETENTION</t>
  </si>
  <si>
    <t>FILTERING</t>
  </si>
  <si>
    <t>INFILTRATION</t>
  </si>
  <si>
    <t>BIOSWALE</t>
  </si>
  <si>
    <t>IMPERVIOUS</t>
  </si>
  <si>
    <t>Center for Watershed Protection, 2007</t>
  </si>
  <si>
    <t>1. 3630 cubic feet of storage per impervious acre, from assumption of treatment of one inch of runoff per impervious acre (CWP Appendix E: E-5).</t>
  </si>
  <si>
    <t>Center for Watershed Protection, 2007, converted to $/acre treated/year</t>
  </si>
  <si>
    <t>1. Converted from cubic feet based on 3630 cubic feet of storage per impervious acre, from assumption of treatment of one inch of runoff per impervious acre (CWP Appendix E: E-5).</t>
  </si>
  <si>
    <t>$/acre treated</t>
  </si>
  <si>
    <t>$/acre BMP installed</t>
  </si>
  <si>
    <t>Capital Costs</t>
  </si>
  <si>
    <t>Total Capital Cost ($/acre) [1]</t>
  </si>
  <si>
    <t>Recurring Cost ($/acre/yr) [1]</t>
  </si>
  <si>
    <t>Total Capital Cost ($/acre)</t>
  </si>
  <si>
    <t>Total Capital Cost ($/feet) [1]</t>
  </si>
  <si>
    <t>Operations and Maintenance (2010 dollars/impervious acre/yr)</t>
  </si>
  <si>
    <t>Operations and Maintenace (2010 dollars/impervious acre/yr)</t>
  </si>
  <si>
    <t>$/feet BMP installed/yr</t>
  </si>
  <si>
    <t>$/feet BMP installed</t>
  </si>
  <si>
    <t>% of Land Area (King and Hagan (2011))</t>
  </si>
  <si>
    <t>Comments (see specific BMP worksheet for details). Sources refer to non-Maryland costs; all Maryland costs from King and Hagan (2011)</t>
  </si>
  <si>
    <t>Note: Only current inputs are from Maryland. If we have inputs from other states, should use costs from Center for Watershed Protection (2007).</t>
  </si>
  <si>
    <t>Average price per soil testing kit:</t>
  </si>
  <si>
    <t>Source:</t>
  </si>
  <si>
    <t>Prices of soil testing kits:</t>
  </si>
  <si>
    <t>Rapitest Soil Test Kit: http://www.gardenharvestsupply.com/product/rapitest-soil-test-kit-model-1601</t>
  </si>
  <si>
    <t xml:space="preserve">Rapitest Soil Test Kit: http://www.arbico-organics.com/1275203.html   </t>
  </si>
  <si>
    <t>Total annual cost ($/acre/yr)</t>
  </si>
  <si>
    <t>Total capital cost ($/acre)</t>
  </si>
  <si>
    <t>Average price per housing unit:</t>
  </si>
  <si>
    <t>Average price per acre:</t>
  </si>
  <si>
    <t>Median acreage per housing unit [1]:</t>
  </si>
  <si>
    <t>1. U.S. Census (2009): http://www.census.gov/compendia/statab/2012/tables/12s0990.pdf</t>
  </si>
  <si>
    <t>2. EPA (2003): http://nepis.epa.gov/Exe/ZyNET.exe/P10065P7.TXT?ZyActionD=ZyDocument&amp;Client=EPA&amp;Index=2000+Thru+2005&amp;Docs=&amp;Query=&amp;Time=&amp;EndTime=&amp;SearchMethod=1&amp;TocRestrict=n&amp;Toc=&amp;TocEntry=&amp;QField=&amp;QFieldYear=&amp;QFieldMonth=&amp;QFieldDay=&amp;IntQFieldOp=0&amp;ExtQFieldOp=0&amp;XmlQuery=&amp;File=D%3A%5Czyfiles%5CIndex%20Data%5C00thru05%5CTxt%5C00000022%5CP10065P7.txt&amp;User=ANONYMOUS&amp;Password=anonymous&amp;SortMethod=h%7C-&amp;MaximumDocuments=1&amp;FuzzyDegree=0&amp;ImageQuality=r75g8/r75g8/x150y150g16/i425&amp;Display=p%7Cf&amp;DefSeekPage=x&amp;SearchBack=ZyActionL&amp;Back=ZyActionS&amp;BackDesc=Results%20page&amp;MaximumPages=1&amp;ZyEntry=1&amp;SeekPage=x&amp;ZyPURL#</t>
  </si>
  <si>
    <t xml:space="preserve">Life of plan (years) [2]: </t>
  </si>
  <si>
    <t>General Assumptions:</t>
  </si>
  <si>
    <t>Assumptions Specific to King and Hagan (2011) Costs:</t>
  </si>
  <si>
    <r>
      <t>Cubic feet per impervious acre</t>
    </r>
    <r>
      <rPr>
        <vertAlign val="superscript"/>
        <sz val="11"/>
        <rFont val="Calibri"/>
        <family val="2"/>
        <scheme val="minor"/>
      </rPr>
      <t>1</t>
    </r>
  </si>
  <si>
    <t>Dry Detention and Extended Detention Basins: CWP (2007)</t>
  </si>
  <si>
    <t>Wetlands and Wet Ponds: Wet Ponds: CWP (2007)</t>
  </si>
  <si>
    <t>Wetlands and Wet Ponds: Constructed Wetlands: CWP (2007)</t>
  </si>
  <si>
    <t>Wetlands and Wet Ponds: Average of Wet Ponds and Constructed Wetlands: CWP (2007)</t>
  </si>
  <si>
    <t>Dry Detention Ponds/Hydrodynamic Structures: King and Hagan (2011)</t>
  </si>
  <si>
    <t>Erosion and Sediment Control: King and Hagan (2011)</t>
  </si>
  <si>
    <t>Urban Filtering Practices: CWP (2007)</t>
  </si>
  <si>
    <t>Stream Restoration: King and Hagan (2011)</t>
  </si>
  <si>
    <t>Nutrient Management</t>
  </si>
  <si>
    <t>Street Sweeping: King and Hagan (2011)</t>
  </si>
  <si>
    <t>Retrofit Stormwater Management: King and Hagan (2011)</t>
  </si>
  <si>
    <t>Growth Reduction</t>
  </si>
  <si>
    <t>Hidden sheets contain BMP costs that are not yet fully developed</t>
  </si>
  <si>
    <t>Method adapted from Abt (2009)</t>
  </si>
  <si>
    <t>Price (current dollars):</t>
  </si>
  <si>
    <t>Mosser Lee Soil Master Soil Testing Kit: http://www.lowes.com/pd_214248-83666-1210_4294857259_4294937087_?zipCode=20814&amp;masthead=true&amp;firstReferURL=http%3A%2F%2Fwww.lowes.com%2Fpd_214248-83666-1210_429</t>
  </si>
  <si>
    <t>Rapitest Soil Test Kit: http://www.amazon.com/Luster-Leaf-1601-Rapitest-Soil/dp/B0000DI845/ref=sr_1_1?ie=UTF8&amp;qid=1323125989&amp;sr=8-1</t>
  </si>
  <si>
    <t>Impervious Surface Reduction (CWP 2007)</t>
  </si>
  <si>
    <t>Urban Infiltration Practices with sand/vegetation (CWP 2007)</t>
  </si>
  <si>
    <t>Urban Infiltration Practices without sand/vegetation (CWP 2007)</t>
  </si>
  <si>
    <t>Average [2]</t>
  </si>
  <si>
    <t>2. Average of new and retrofit as states do not differentiate when noting BMP implementation</t>
  </si>
  <si>
    <t>Dry Det and Extended Det - Retrofit [1]</t>
  </si>
  <si>
    <t>Wetlands and Wet Ponds - Retrofit [1]</t>
  </si>
  <si>
    <t>Bioretention Pond - Retrofit [1]</t>
  </si>
  <si>
    <t>1. Definition of retrofit stormwater management is unavailable, so costs estimated based on average of all retrofit BMPs.</t>
  </si>
  <si>
    <t>Hairston-Strang (2002) [1]</t>
  </si>
  <si>
    <t>MDA (2002b) [2]</t>
  </si>
  <si>
    <t>DE WIP (2011)</t>
  </si>
  <si>
    <t>Average (2010$)</t>
  </si>
  <si>
    <t>Site preparation ($/ac)</t>
  </si>
  <si>
    <t>Planting and replacement planting ($/ac)</t>
  </si>
  <si>
    <t>Tree shelters ($/ac) [3]</t>
  </si>
  <si>
    <t>Initial grass buffer for immediate soil protection ($/ac)</t>
  </si>
  <si>
    <t>Mowing ($/ac) [4]</t>
  </si>
  <si>
    <t>Herbicide ($/ac) [5]</t>
  </si>
  <si>
    <t>Subtotal ($/ac)</t>
  </si>
  <si>
    <t>Annual Cost ($/ac/yr) [6]</t>
  </si>
  <si>
    <t>*All costs as shown are 2010 dollars</t>
  </si>
  <si>
    <t>1. Costs shown are an average of a representative sample of actual costs for installing forest buffers in different regions in MD.</t>
  </si>
  <si>
    <t>2. Costs shown are average practice costs in Maryland for 2001-2002 according to the Maryland Agricultural Water Quality Cost-Share (MACS) program.</t>
  </si>
  <si>
    <t>3. Reflects implementation on 50% of acres</t>
  </si>
  <si>
    <t>4. Based on mowing three times per year for three years (Hairston-Strang, 2002)</t>
  </si>
  <si>
    <t>5. Based on sparying herbicides once (Hairston-Strang, 2002)</t>
  </si>
  <si>
    <t>6. Average $/ac costs annualized at 7% over 15 years (typical contract period is 15 years).</t>
  </si>
  <si>
    <t>Additional Notes:</t>
  </si>
  <si>
    <t>Excluded DE EQIP costs because could not determine proportion of small to large tree planting per acre or whether costs included all cost components.</t>
  </si>
  <si>
    <t>Excluded VA EQIP costs because could not determine what components it includes (e.g., with or without shelters).</t>
  </si>
  <si>
    <t>No Forest Buffer costs in WV.</t>
  </si>
  <si>
    <t>VA Agriculture BMP Query Tool indicates the state pays a land rental payment of $50-$75/acre.</t>
  </si>
  <si>
    <t>References:</t>
  </si>
  <si>
    <t>New York NRCS. 2011. Non-HU Livestock Waste Payment Schedule (2011). Accessible electronically at: ftp://ftp-fc.sc.egov.usda.gov/NY/eFOTG/section_1/cost_data/program_payment_schedules/eqip/nyeqip_pmt_nys_lvstk.pdf</t>
  </si>
  <si>
    <t>Maryland NRCS. 2011. Cost List. Accessible electronically at: http://www.md.nrcs.usda.gov/programs/eqip/2011/cbwi_2011.html</t>
  </si>
  <si>
    <t>Delaware NRCS. 2011. Delaware FY-2011 EQIP &amp; CBWI Eligible Conservatio Practices: January 31, 2011. Accessible electronically at: http://www.google.com/url?sa=t&amp;source=web&amp;cd=1&amp;ved=0CBgQFjAA&amp;url=http%3A%2F%2Fwww.de.nrcs.usda.gov%2Fprograms%2Feqip%2FORGANIC_2011%2FEligible%2520Practice%2520List%2520and%2520Payment%2520Schedule.xlsx&amp;rct=j&amp;q=de%20eligible%20practice%20list%20and%20payment%20schedule&amp;ei=_w0zTsK8CObY0QHe3vyUDA&amp;usg=AFQjCNGMgurmFuJmZitJNDI0XVwyk6fz-Q</t>
  </si>
  <si>
    <t>West Virginia NRCS. 2011. FY2011 CBWI Payment Schedule. Available electronically at: http://www.wv.nrcs.usda.gov/programs/cbwi/cbwi_11/FY2011_CBWI_Payment_Schedule.pdf</t>
  </si>
  <si>
    <t>Pennsylvania NRCS. 2011. Pennsylvania 2011 FAP Payment Schedule. Accessible electronically at: http://www.pa.nrcs.usda.gov/programs/programforms/2011FAPD_PaySched.pdf</t>
  </si>
  <si>
    <t xml:space="preserve">Virginia Department of Conservation and Recreation (VA DCR). 2011. Virginia Agricultural
BMP Manual. Richmond, VA.
</t>
  </si>
  <si>
    <t>Average Costs</t>
  </si>
  <si>
    <t>Seed ($/ac) [1]</t>
  </si>
  <si>
    <t>Fertilizer and lime ($/ac)</t>
  </si>
  <si>
    <t>Labor and equipment ($/ac) [2]</t>
  </si>
  <si>
    <t>Total upfront cost ($/ac)</t>
  </si>
  <si>
    <t>*For all EQIP sources (excluding VA) costs are the EQIP rate divided by .75.</t>
  </si>
  <si>
    <t>1. WSG costs based on average seed costs for switchgrass ($40/ac), big bluestem ($150/ac), and indiangrass ($160/ac).</t>
  </si>
  <si>
    <t>2. Based on costs for no-till planting.</t>
  </si>
  <si>
    <t>New York NRCS. 2011. Non-HU Cropland Payment Schedule (2011). Accessible electronically at: ftp://ftp-fc.sc.egov.usda.gov/NY/eFOTG/section_1/cost_data/program_payment_schedules/eqip/nyeqip_pmt_nys_crop.pdf</t>
  </si>
  <si>
    <t>Virginia NRCS. 2011. NRCS/Virginia Average Cost Estimates for Conservation Practices for FY11:  Typical Units, Average Cost/Unit and Estimated Total Costs. Accessible electronically at: http://efotg.sc.egov.usda.gov/references/public/VA/AverageCostListforFY2011.pdf</t>
  </si>
  <si>
    <t>7. Represents average of buffers for Zones 1 &amp; 2 and Zones 1, 2, &amp; 3 (unit costs for mowing and spraying not included because they are for existing buffers only and unit costs already include those items). Calculated by dividing state payment by 75% (assuming state pays 75% of average cost).</t>
  </si>
  <si>
    <t>NY EQIP (2011) [7]</t>
  </si>
  <si>
    <t>PA EQIP (2011) [8]</t>
  </si>
  <si>
    <t>8. Calculated by dividing state payment by 75% (assuming state pays 75% of average cost).</t>
  </si>
  <si>
    <t>9. Represents costs for shrubs and hardwoods with shelters (from MD NRCS: For riparian forest buffer, the payment rates were developed on what the average planting required.  So this could include tillage, herbicide, site prep, planting, and tree costs). Calculated by dividing state payment by 75% (assuming state pays 75% of average cost).</t>
  </si>
  <si>
    <t>MD EQIP (2011) [9]</t>
  </si>
  <si>
    <t>10. For practice CRFR-3 Riparian Forest Buffers; not clear if it includes shelters, although costs do represent actual project implementation costs (see below for details).</t>
  </si>
  <si>
    <t>VA DCR (2011) [10]</t>
  </si>
  <si>
    <t>3. Annual mowing costs are likely to be offset by sale of clippings for profit or lack of need for mowing on certain grass types.</t>
  </si>
  <si>
    <t>O&amp;M cost ($/ac/yr) [3]</t>
  </si>
  <si>
    <t>NY EQIP (2011) [4]</t>
  </si>
  <si>
    <t>PA EQIP (2011) [5]</t>
  </si>
  <si>
    <t>WV EQIP (2011) [6]</t>
  </si>
  <si>
    <t>VA EQIP (2011) [7]</t>
  </si>
  <si>
    <t>MD EQIP (2011) [8]</t>
  </si>
  <si>
    <t>4. The seed/fertilizer and lime/labor and equipment cost is an average of introduced species and native seeding; opportunity cost data is from ftp://ftp-fc.sc.egov.usda.gov/NY/eFOTG/section_1/cost_data/cpis/nycpis390.pdf</t>
  </si>
  <si>
    <t>5.  All costs are an average of those given for Native and Non-Native; includes O&amp;M costs and opportunity cost.</t>
  </si>
  <si>
    <t>6. Total Upfront cost is an average of CSG and WSG.</t>
  </si>
  <si>
    <t>7. Cost for Native WSG.</t>
  </si>
  <si>
    <t>8. Cost is the average for native and non-native grasses with and without extra site prep.</t>
  </si>
  <si>
    <t>Total annual cost ($/ac/yr) [9]</t>
  </si>
  <si>
    <t>No cost available from King and Hagan (2011), including Maryland</t>
  </si>
  <si>
    <t>Useful Life</t>
  </si>
  <si>
    <t>Useful Life (years)</t>
  </si>
  <si>
    <t>The list of Urban BMPs is based on Urban BMPs listed in the Phase II input decks (submitted by the states to EPA with narrative WIPs).</t>
  </si>
  <si>
    <t>CSO Separation</t>
  </si>
  <si>
    <t>Bioretention (CWP, 2007)</t>
  </si>
  <si>
    <t>Land Use</t>
  </si>
  <si>
    <t>Definition: An excavated pit backfilled with engineered media, topsoil, mulch, and vegetation. These are planting areas installed in shallow basins in which the storm water runoff is temporarily ponded and then treated by filtering through the bed components, and through biological and biochemical reactions within the soil matrix and around the root zones of the plants.</t>
  </si>
  <si>
    <t>Definition: With a bioswale, the load is reduced because, unlike other open channel designs, there is now treatment through the soil. A bioswale is designed to function as a bioretention area.</t>
  </si>
  <si>
    <t>% of Land Area (King and Hagan, 2011)</t>
  </si>
  <si>
    <t>Bioswale (CWP, 2007)</t>
  </si>
  <si>
    <t>Definition: Elimination of CSOs</t>
  </si>
  <si>
    <t>DCWASA (2002)</t>
  </si>
  <si>
    <t>Total capital (2001$/acre) [1]</t>
  </si>
  <si>
    <t>Total capital (2010$/acre) [2]</t>
  </si>
  <si>
    <t>Annual costs ($/acre/yr) [3]</t>
  </si>
  <si>
    <t>1. Represents medium cost of sewer separation from DC LTCP.</t>
  </si>
  <si>
    <t>2. Updated using ENR CCI.</t>
  </si>
  <si>
    <t>3. Annualized at 7% over 20 years.</t>
  </si>
  <si>
    <t>Useful life (years)</t>
  </si>
  <si>
    <t>$/acre/yr</t>
  </si>
  <si>
    <t>USDA ERS Ag Services, Index for Prices Paid (http://quickstats.nass.usda.gov/#7EB994A1-A245-33A8-BF21-1104C64E974D)</t>
  </si>
  <si>
    <t>Index</t>
  </si>
  <si>
    <t>Annual Unit Costs</t>
  </si>
  <si>
    <t>Land Costs</t>
  </si>
  <si>
    <t>WV EQIP (2011) [1]</t>
  </si>
  <si>
    <t>DE EQIP (2011) [2]</t>
  </si>
  <si>
    <t>MD EQIP (2011)</t>
  </si>
  <si>
    <t>PA EQIP (2011) [1]</t>
  </si>
  <si>
    <t>VA EQIP (2011)</t>
  </si>
  <si>
    <t>Small Trees ($/acre)</t>
  </si>
  <si>
    <t>Small Trees Plus Herbicide ($/acre)</t>
  </si>
  <si>
    <t>Direct Seeding w/ 4' Shelter ($/acre)</t>
  </si>
  <si>
    <t>Deciduous w/5' Shelter or Deciduous/Conifers w/Wire Cages ($/acre)</t>
  </si>
  <si>
    <t xml:space="preserve">Deciduous w/o Shelter or Wire Cages ($/acre) </t>
  </si>
  <si>
    <t>Red Spruce, Balsam Fir w/o Shelters ($/acre)</t>
  </si>
  <si>
    <t>Conifer Dibble/Planting Bar ($/acre)</t>
  </si>
  <si>
    <t>Prune Conifers or Black Walnut to 17 ft ($/acre)</t>
  </si>
  <si>
    <t>Hardwood at 400/ac ($/acre)</t>
  </si>
  <si>
    <t>Pine at 600/ac ($/acre)</t>
  </si>
  <si>
    <t>Shrub and Hardwood w Shelters ($/acre)</t>
  </si>
  <si>
    <t>Shrub and Hardwood w/o Shelters ($/acre)</t>
  </si>
  <si>
    <t>Softwoods ($/acre)</t>
  </si>
  <si>
    <t>Tree/Shrub Containerized ($/acre)</t>
  </si>
  <si>
    <t>Shrub/Tree, Bare Root or Containerized ($/acre)</t>
  </si>
  <si>
    <t>Interplant Shrub/Tree, Bare Root or Containerized ($/acre)</t>
  </si>
  <si>
    <t>110 Trees, Hardwoods only w/ tubes ≤ 5acres ($/acre)</t>
  </si>
  <si>
    <t>110 Trees, Hardwoods only w/ tubes &gt; 5acres ($/acre)</t>
  </si>
  <si>
    <t>300 Trees, Hardwoods only w/ tubes ≤ 5acres ($/acre)</t>
  </si>
  <si>
    <t>300 Trees, Hardwoods only w/ tubes &gt; 5acres ($/acre)</t>
  </si>
  <si>
    <t>110 Trees, Hardwoods w/ tubes and Pines making up to 20% of total trees/acre planted ≤ 5acres ($/acre)</t>
  </si>
  <si>
    <t>110 Trees, Hardwoods w/ tubes and Pines making up to 20% of total trees/acre planted &gt; 5acres ($/acre)</t>
  </si>
  <si>
    <t>300 Trees, Hardwoods w/ tubes and Pines making up to 20% of total trees/acre planted ≤ 5acres ($/acre)</t>
  </si>
  <si>
    <t>300 Trees, Hardwoods w/ tubes and Pines making up to 20% of total trees/acre planted &gt; 5acres ($/acre)</t>
  </si>
  <si>
    <t>Pine Tree Planting &lt; 350 trees/acre ($/acre)</t>
  </si>
  <si>
    <t>Pine Tree Planting &gt; 350 trees/acre ($/acre)</t>
  </si>
  <si>
    <t>Longleaf Pine Tree Planting ($/acre)</t>
  </si>
  <si>
    <t>Shortleaf Pine Tree Planting ($/acre)</t>
  </si>
  <si>
    <t>Mixed Shrub Seedlings high diversity ($/acre)</t>
  </si>
  <si>
    <t>Mixed Shrub Seedlings low diversity ($/acre)</t>
  </si>
  <si>
    <t>110 Hardwoods &amp; 120 Mixed Shrubs, ≤ 5 acres ($/acre)</t>
  </si>
  <si>
    <t>110 Hardwoods &amp; 120 Mixed Shrubs, &gt; 5 acres ($/acre)</t>
  </si>
  <si>
    <t>Average Costs ($/ac)</t>
  </si>
  <si>
    <t>Annualization period/Useful life (years)</t>
  </si>
  <si>
    <t>Annual Cost ($/ac/yr) [4]</t>
  </si>
  <si>
    <t>1. Per acre costs calculated by assuming 200 trees/seedlings per acre.</t>
  </si>
  <si>
    <t>2. Per acre costs for small trees and small trees plus herbicides calculated by assuming 200 trees/seedlings per acre.</t>
  </si>
  <si>
    <t>3. Includes O&amp;M costs.</t>
  </si>
  <si>
    <t>4. Assumes useful life of trees to be 75 years and 7% annualization rate.</t>
  </si>
  <si>
    <t>9. Upfront costs annualized at 5% over 10 years (MD DNR, 1996) plus O&amp;M costs. In 2010 dollars.</t>
  </si>
  <si>
    <t>Vegetated Open Channels: King and Hagan (2011)</t>
  </si>
  <si>
    <t>Definition: Practices that convey stormwater runoff and provide treatment as the water is conveyed, includes bioswales.  Runoff passes through either vegetation in the channel, subsoil matrix, and/or is infiltrated into the underlying soils.</t>
  </si>
  <si>
    <t>Total Land Cost ($/acre) [1]</t>
  </si>
  <si>
    <t>O&amp;M Cost ($/acre/yr) [1]</t>
  </si>
  <si>
    <t>O&amp;M Costs</t>
  </si>
  <si>
    <t>O&amp;M cost ($/acre/yr)</t>
  </si>
  <si>
    <t>Total O&amp;M Cost ($/feet/yr) [1]</t>
  </si>
  <si>
    <t>Annualization Period/Useful life (years)</t>
  </si>
  <si>
    <t>O&amp;M Cost ($/acre/yr)</t>
  </si>
  <si>
    <t>Total Land Cost ($/acre)</t>
  </si>
  <si>
    <t>Total O&amp;M Cost ($/acre/yr) [1]</t>
  </si>
</sst>
</file>

<file path=xl/styles.xml><?xml version="1.0" encoding="utf-8"?>
<styleSheet xmlns="http://schemas.openxmlformats.org/spreadsheetml/2006/main">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0.0000"/>
    <numFmt numFmtId="167" formatCode="0.0%"/>
    <numFmt numFmtId="168" formatCode="_(* #,##0_);_(* \(#,##0\);_(* &quot;-&quot;??_);_(@_)"/>
    <numFmt numFmtId="169" formatCode="&quot;$&quot;#,##0.00000000000000_);[Red]\(&quot;$&quot;#,##0.00000000000000\)"/>
    <numFmt numFmtId="170" formatCode="0.0000000000000"/>
  </numFmts>
  <fonts count="24">
    <font>
      <sz val="11"/>
      <color theme="1"/>
      <name val="Calibri"/>
      <family val="2"/>
      <scheme val="minor"/>
    </font>
    <font>
      <sz val="10"/>
      <name val="Arial"/>
      <family val="2"/>
    </font>
    <font>
      <sz val="10"/>
      <name val="Times New Roman"/>
      <family val="1"/>
    </font>
    <font>
      <b/>
      <sz val="9"/>
      <color theme="1"/>
      <name val="Arial"/>
      <family val="2"/>
    </font>
    <font>
      <sz val="9"/>
      <color theme="1"/>
      <name val="Arial"/>
      <family val="2"/>
    </font>
    <font>
      <i/>
      <sz val="9"/>
      <color theme="1"/>
      <name val="Arial"/>
      <family val="2"/>
    </font>
    <font>
      <b/>
      <sz val="11"/>
      <color theme="0"/>
      <name val="Calibri"/>
      <family val="2"/>
      <scheme val="minor"/>
    </font>
    <font>
      <sz val="10"/>
      <name val="Arial"/>
      <family val="2"/>
    </font>
    <font>
      <sz val="10"/>
      <name val="Arial"/>
      <family val="2"/>
    </font>
    <font>
      <sz val="11"/>
      <color theme="1"/>
      <name val="Calibri"/>
      <family val="2"/>
      <scheme val="minor"/>
    </font>
    <font>
      <sz val="10"/>
      <name val="Arial"/>
      <family val="2"/>
    </font>
    <font>
      <b/>
      <sz val="11"/>
      <color theme="1"/>
      <name val="Calibri"/>
      <family val="2"/>
      <scheme val="minor"/>
    </font>
    <font>
      <vertAlign val="superscript"/>
      <sz val="11"/>
      <color theme="1"/>
      <name val="Calibri"/>
      <family val="2"/>
      <scheme val="minor"/>
    </font>
    <font>
      <b/>
      <sz val="11"/>
      <name val="Calibri"/>
      <family val="2"/>
      <scheme val="minor"/>
    </font>
    <font>
      <sz val="11"/>
      <name val="Calibri"/>
      <family val="2"/>
      <scheme val="minor"/>
    </font>
    <font>
      <i/>
      <sz val="11"/>
      <color theme="1"/>
      <name val="Calibri"/>
      <family val="2"/>
      <scheme val="minor"/>
    </font>
    <font>
      <sz val="11"/>
      <color rgb="FF000000"/>
      <name val="Calibri"/>
      <family val="2"/>
      <scheme val="minor"/>
    </font>
    <font>
      <vertAlign val="superscript"/>
      <sz val="11"/>
      <name val="Calibri"/>
      <family val="2"/>
      <scheme val="minor"/>
    </font>
    <font>
      <i/>
      <sz val="11"/>
      <name val="Calibri"/>
      <family val="2"/>
      <scheme val="minor"/>
    </font>
    <font>
      <b/>
      <sz val="11"/>
      <color rgb="FFFA7D00"/>
      <name val="Garamond"/>
      <family val="2"/>
    </font>
    <font>
      <b/>
      <sz val="11"/>
      <color rgb="FFFA7D00"/>
      <name val="Calibri"/>
      <family val="2"/>
      <scheme val="minor"/>
    </font>
    <font>
      <b/>
      <sz val="10"/>
      <name val="Arial"/>
      <family val="2"/>
    </font>
    <font>
      <sz val="11"/>
      <color rgb="FFFF0000"/>
      <name val="Calibri"/>
      <family val="2"/>
      <scheme val="minor"/>
    </font>
    <font>
      <b/>
      <sz val="11"/>
      <color rgb="FFFF000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rgb="FFA5A5A5"/>
      </patternFill>
    </fill>
    <fill>
      <patternFill patternType="solid">
        <fgColor indexed="65"/>
        <bgColor indexed="64"/>
      </patternFill>
    </fill>
    <fill>
      <patternFill patternType="solid">
        <fgColor theme="6" tint="0.59999389629810485"/>
        <bgColor indexed="64"/>
      </patternFill>
    </fill>
    <fill>
      <patternFill patternType="solid">
        <fgColor rgb="FFF2F2F2"/>
      </patternFill>
    </fill>
    <fill>
      <patternFill patternType="solid">
        <fgColor theme="0"/>
        <bgColor indexed="64"/>
      </patternFill>
    </fill>
  </fills>
  <borders count="65">
    <border>
      <left/>
      <right/>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rgb="FF3F3F3F"/>
      </left>
      <right style="double">
        <color rgb="FF3F3F3F"/>
      </right>
      <top style="double">
        <color rgb="FF3F3F3F"/>
      </top>
      <bottom style="double">
        <color rgb="FF3F3F3F"/>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style="thin">
        <color auto="1"/>
      </right>
      <top/>
      <bottom style="hair">
        <color auto="1"/>
      </bottom>
      <diagonal/>
    </border>
    <border>
      <left style="thin">
        <color auto="1"/>
      </left>
      <right style="medium">
        <color indexed="64"/>
      </right>
      <top/>
      <bottom style="hair">
        <color auto="1"/>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s>
  <cellStyleXfs count="17">
    <xf numFmtId="0" fontId="0" fillId="0" borderId="0"/>
    <xf numFmtId="0" fontId="1" fillId="0" borderId="0"/>
    <xf numFmtId="0" fontId="1" fillId="0" borderId="0"/>
    <xf numFmtId="4" fontId="2" fillId="0" borderId="0"/>
    <xf numFmtId="0" fontId="6" fillId="3" borderId="21" applyNumberFormat="0" applyAlignment="0" applyProtection="0"/>
    <xf numFmtId="0" fontId="7" fillId="0" borderId="0"/>
    <xf numFmtId="0" fontId="8" fillId="0" borderId="0"/>
    <xf numFmtId="44" fontId="1" fillId="0" borderId="0" applyFont="0" applyFill="0" applyBorder="0" applyAlignment="0" applyProtection="0"/>
    <xf numFmtId="0" fontId="10" fillId="0" borderId="0"/>
    <xf numFmtId="9" fontId="1" fillId="0" borderId="0" applyFont="0" applyFill="0" applyBorder="0" applyAlignment="0" applyProtection="0"/>
    <xf numFmtId="0" fontId="9" fillId="0" borderId="0"/>
    <xf numFmtId="0" fontId="1" fillId="0" borderId="0"/>
    <xf numFmtId="0" fontId="1" fillId="0" borderId="0"/>
    <xf numFmtId="0" fontId="1" fillId="0" borderId="0"/>
    <xf numFmtId="43" fontId="9" fillId="0" borderId="0" applyFont="0" applyFill="0" applyBorder="0" applyAlignment="0" applyProtection="0"/>
    <xf numFmtId="9" fontId="9" fillId="0" borderId="0" applyFont="0" applyFill="0" applyBorder="0" applyAlignment="0" applyProtection="0"/>
    <xf numFmtId="0" fontId="19" fillId="6" borderId="61" applyNumberFormat="0" applyAlignment="0" applyProtection="0"/>
  </cellStyleXfs>
  <cellXfs count="525">
    <xf numFmtId="0" fontId="0" fillId="0" borderId="0" xfId="0"/>
    <xf numFmtId="0" fontId="3" fillId="2" borderId="0" xfId="0" applyFont="1" applyFill="1" applyAlignment="1">
      <alignment horizontal="center"/>
    </xf>
    <xf numFmtId="0" fontId="3" fillId="2" borderId="0" xfId="0" applyFont="1" applyFill="1" applyAlignment="1">
      <alignment horizontal="center" wrapText="1"/>
    </xf>
    <xf numFmtId="0" fontId="0" fillId="4" borderId="0" xfId="0" applyFont="1" applyFill="1" applyAlignment="1">
      <alignment vertical="center"/>
    </xf>
    <xf numFmtId="0" fontId="11" fillId="4" borderId="23" xfId="0" applyFont="1" applyFill="1" applyBorder="1" applyAlignment="1">
      <alignment vertical="center"/>
    </xf>
    <xf numFmtId="3" fontId="0" fillId="4" borderId="3" xfId="0" applyNumberFormat="1" applyFont="1" applyFill="1" applyBorder="1" applyAlignment="1">
      <alignment vertical="center"/>
    </xf>
    <xf numFmtId="165" fontId="0" fillId="4" borderId="3" xfId="0" applyNumberFormat="1" applyFont="1" applyFill="1" applyBorder="1" applyAlignment="1">
      <alignment vertical="center"/>
    </xf>
    <xf numFmtId="0" fontId="0" fillId="4" borderId="23" xfId="0" applyFont="1" applyFill="1" applyBorder="1" applyAlignment="1">
      <alignment vertical="center"/>
    </xf>
    <xf numFmtId="165" fontId="0" fillId="4" borderId="26" xfId="0" applyNumberFormat="1" applyFont="1" applyFill="1" applyBorder="1" applyAlignment="1">
      <alignment vertical="center"/>
    </xf>
    <xf numFmtId="0" fontId="0" fillId="4" borderId="18" xfId="0" applyFont="1" applyFill="1" applyBorder="1" applyAlignment="1">
      <alignment vertical="center"/>
    </xf>
    <xf numFmtId="6" fontId="0" fillId="4" borderId="3" xfId="0" applyNumberFormat="1" applyFont="1" applyFill="1" applyBorder="1" applyAlignment="1">
      <alignment vertical="center"/>
    </xf>
    <xf numFmtId="165" fontId="0" fillId="4" borderId="0" xfId="0" applyNumberFormat="1" applyFont="1" applyFill="1" applyAlignment="1">
      <alignment vertical="center"/>
    </xf>
    <xf numFmtId="0" fontId="0" fillId="4" borderId="0" xfId="0" applyFont="1" applyFill="1" applyBorder="1" applyAlignment="1">
      <alignment vertical="center"/>
    </xf>
    <xf numFmtId="0" fontId="0" fillId="4" borderId="0" xfId="0" applyFont="1" applyFill="1" applyBorder="1" applyAlignment="1">
      <alignment horizontal="left" vertical="center"/>
    </xf>
    <xf numFmtId="0" fontId="0" fillId="4" borderId="27" xfId="0" applyFont="1" applyFill="1" applyBorder="1" applyAlignment="1">
      <alignment vertical="center"/>
    </xf>
    <xf numFmtId="0" fontId="11" fillId="4" borderId="0" xfId="0" applyFont="1" applyFill="1" applyAlignment="1">
      <alignment vertical="center"/>
    </xf>
    <xf numFmtId="0" fontId="11" fillId="4" borderId="0" xfId="0" applyFont="1" applyFill="1" applyBorder="1" applyAlignment="1">
      <alignment vertical="center"/>
    </xf>
    <xf numFmtId="0" fontId="0" fillId="4" borderId="0" xfId="0" applyFont="1" applyFill="1" applyBorder="1" applyAlignment="1">
      <alignment vertical="center" wrapText="1"/>
    </xf>
    <xf numFmtId="165" fontId="0" fillId="4" borderId="3" xfId="0" applyNumberFormat="1" applyFont="1" applyFill="1" applyBorder="1" applyAlignment="1">
      <alignment horizontal="center" vertical="center"/>
    </xf>
    <xf numFmtId="165" fontId="0" fillId="4" borderId="26" xfId="0" applyNumberFormat="1" applyFont="1" applyFill="1" applyBorder="1" applyAlignment="1">
      <alignment horizontal="center" vertical="center"/>
    </xf>
    <xf numFmtId="0" fontId="11" fillId="4" borderId="3" xfId="0" applyFont="1" applyFill="1" applyBorder="1" applyAlignment="1">
      <alignment horizontal="center" vertical="center"/>
    </xf>
    <xf numFmtId="0" fontId="5" fillId="4" borderId="0" xfId="0" applyFont="1" applyFill="1"/>
    <xf numFmtId="0" fontId="4" fillId="4" borderId="0" xfId="0" applyFont="1" applyFill="1"/>
    <xf numFmtId="164" fontId="4" fillId="4" borderId="0" xfId="0" applyNumberFormat="1" applyFont="1" applyFill="1"/>
    <xf numFmtId="0" fontId="4" fillId="4" borderId="0" xfId="0" applyFont="1" applyFill="1" applyBorder="1"/>
    <xf numFmtId="0" fontId="4" fillId="4" borderId="0" xfId="0" applyFont="1" applyFill="1" applyAlignment="1"/>
    <xf numFmtId="0" fontId="3" fillId="4" borderId="0" xfId="0" applyFont="1" applyFill="1"/>
    <xf numFmtId="1" fontId="4" fillId="4" borderId="0" xfId="0" applyNumberFormat="1" applyFont="1" applyFill="1"/>
    <xf numFmtId="0" fontId="4" fillId="4" borderId="0" xfId="0" applyFont="1" applyFill="1" applyAlignment="1">
      <alignment wrapText="1"/>
    </xf>
    <xf numFmtId="0" fontId="3" fillId="4" borderId="0" xfId="0" applyFont="1" applyFill="1" applyBorder="1"/>
    <xf numFmtId="0" fontId="15" fillId="4" borderId="0" xfId="0" applyFont="1" applyFill="1"/>
    <xf numFmtId="0" fontId="0" fillId="4" borderId="0" xfId="0" applyFont="1" applyFill="1"/>
    <xf numFmtId="0" fontId="0" fillId="4" borderId="15" xfId="0" applyFont="1" applyFill="1" applyBorder="1"/>
    <xf numFmtId="0" fontId="0" fillId="4" borderId="14" xfId="0" applyFont="1" applyFill="1" applyBorder="1"/>
    <xf numFmtId="0" fontId="14" fillId="0" borderId="0" xfId="1" applyFont="1" applyBorder="1"/>
    <xf numFmtId="0" fontId="0" fillId="4" borderId="20" xfId="0" applyFont="1" applyFill="1" applyBorder="1" applyAlignment="1">
      <alignment vertical="center"/>
    </xf>
    <xf numFmtId="0" fontId="0" fillId="4" borderId="11" xfId="0" applyFont="1" applyFill="1" applyBorder="1" applyAlignment="1">
      <alignment vertical="center"/>
    </xf>
    <xf numFmtId="0" fontId="0" fillId="4" borderId="41" xfId="0" applyFont="1" applyFill="1" applyBorder="1" applyAlignment="1">
      <alignment vertical="center"/>
    </xf>
    <xf numFmtId="0" fontId="0" fillId="4" borderId="8" xfId="0" applyFont="1" applyFill="1" applyBorder="1" applyAlignment="1">
      <alignment vertical="center"/>
    </xf>
    <xf numFmtId="0" fontId="0" fillId="4" borderId="14" xfId="0" applyFont="1" applyFill="1" applyBorder="1" applyAlignment="1">
      <alignment vertical="center"/>
    </xf>
    <xf numFmtId="0" fontId="0" fillId="4" borderId="43" xfId="0" applyFont="1" applyFill="1" applyBorder="1" applyAlignment="1">
      <alignment vertical="center"/>
    </xf>
    <xf numFmtId="0" fontId="0" fillId="4" borderId="44" xfId="0" applyFont="1" applyFill="1" applyBorder="1" applyAlignment="1">
      <alignment vertical="center"/>
    </xf>
    <xf numFmtId="0" fontId="0" fillId="4" borderId="46" xfId="0" applyFont="1" applyFill="1" applyBorder="1" applyAlignment="1">
      <alignment vertical="center"/>
    </xf>
    <xf numFmtId="164" fontId="0" fillId="4" borderId="0" xfId="0" applyNumberFormat="1" applyFont="1" applyFill="1" applyAlignment="1">
      <alignment vertical="center"/>
    </xf>
    <xf numFmtId="6" fontId="0" fillId="4" borderId="0" xfId="0" applyNumberFormat="1" applyFont="1" applyFill="1" applyAlignment="1">
      <alignment vertical="center"/>
    </xf>
    <xf numFmtId="9" fontId="0" fillId="4" borderId="3" xfId="0" applyNumberFormat="1" applyFont="1" applyFill="1" applyBorder="1" applyAlignment="1">
      <alignment vertical="center"/>
    </xf>
    <xf numFmtId="9" fontId="0" fillId="4" borderId="26" xfId="0" applyNumberFormat="1" applyFont="1" applyFill="1" applyBorder="1" applyAlignment="1">
      <alignment vertical="center"/>
    </xf>
    <xf numFmtId="0" fontId="0" fillId="4" borderId="3" xfId="0" applyFont="1" applyFill="1" applyBorder="1" applyAlignment="1">
      <alignment vertical="center"/>
    </xf>
    <xf numFmtId="8" fontId="0" fillId="4" borderId="0" xfId="0" applyNumberFormat="1" applyFont="1" applyFill="1" applyAlignment="1">
      <alignment vertical="center"/>
    </xf>
    <xf numFmtId="0" fontId="11" fillId="2" borderId="0" xfId="0" applyFont="1" applyFill="1" applyAlignment="1">
      <alignment horizontal="center" vertical="center"/>
    </xf>
    <xf numFmtId="164" fontId="0" fillId="4" borderId="3" xfId="0" applyNumberFormat="1" applyFont="1" applyFill="1" applyBorder="1" applyAlignment="1">
      <alignment vertical="center"/>
    </xf>
    <xf numFmtId="8" fontId="0" fillId="4" borderId="3" xfId="0" quotePrefix="1" applyNumberFormat="1" applyFont="1" applyFill="1" applyBorder="1" applyAlignment="1">
      <alignment vertical="center"/>
    </xf>
    <xf numFmtId="165" fontId="0" fillId="4" borderId="3" xfId="0" applyNumberFormat="1" applyFont="1" applyFill="1" applyBorder="1" applyAlignment="1">
      <alignment horizontal="center" vertical="center"/>
    </xf>
    <xf numFmtId="165" fontId="0" fillId="4" borderId="26" xfId="0" applyNumberFormat="1" applyFont="1" applyFill="1" applyBorder="1" applyAlignment="1">
      <alignment horizontal="center" vertical="center"/>
    </xf>
    <xf numFmtId="0" fontId="11" fillId="4" borderId="26" xfId="0" applyFont="1" applyFill="1" applyBorder="1" applyAlignment="1">
      <alignment horizontal="center" vertical="center"/>
    </xf>
    <xf numFmtId="0" fontId="0" fillId="4" borderId="3" xfId="0" applyFont="1" applyFill="1" applyBorder="1" applyAlignment="1">
      <alignment horizontal="left" vertical="center"/>
    </xf>
    <xf numFmtId="0" fontId="14" fillId="4" borderId="0" xfId="1" applyFont="1" applyFill="1"/>
    <xf numFmtId="0" fontId="13" fillId="4" borderId="23" xfId="1" applyFont="1" applyFill="1" applyBorder="1"/>
    <xf numFmtId="0" fontId="13" fillId="4" borderId="3" xfId="1" applyFont="1" applyFill="1" applyBorder="1"/>
    <xf numFmtId="1" fontId="14" fillId="4" borderId="3" xfId="1" applyNumberFormat="1" applyFont="1" applyFill="1" applyBorder="1"/>
    <xf numFmtId="167" fontId="14" fillId="4" borderId="26" xfId="1" applyNumberFormat="1" applyFont="1" applyFill="1" applyBorder="1"/>
    <xf numFmtId="0" fontId="14" fillId="4" borderId="23" xfId="1" applyNumberFormat="1" applyFont="1" applyFill="1" applyBorder="1"/>
    <xf numFmtId="0" fontId="14" fillId="4" borderId="3" xfId="2" applyFont="1" applyFill="1" applyBorder="1"/>
    <xf numFmtId="166" fontId="14" fillId="4" borderId="3" xfId="2" applyNumberFormat="1" applyFont="1" applyFill="1" applyBorder="1" applyAlignment="1">
      <alignment horizontal="center"/>
    </xf>
    <xf numFmtId="165" fontId="14" fillId="4" borderId="26" xfId="1" applyNumberFormat="1" applyFont="1" applyFill="1" applyBorder="1"/>
    <xf numFmtId="165" fontId="14" fillId="4" borderId="26" xfId="1" applyNumberFormat="1" applyFont="1" applyFill="1" applyBorder="1" applyAlignment="1"/>
    <xf numFmtId="1" fontId="14" fillId="4" borderId="3" xfId="1" applyNumberFormat="1" applyFont="1" applyFill="1" applyBorder="1" applyAlignment="1"/>
    <xf numFmtId="0" fontId="14" fillId="4" borderId="23" xfId="1" applyFont="1" applyFill="1" applyBorder="1"/>
    <xf numFmtId="0" fontId="14" fillId="4" borderId="3" xfId="1" applyFont="1" applyFill="1" applyBorder="1"/>
    <xf numFmtId="0" fontId="14" fillId="4" borderId="26" xfId="1" applyFont="1" applyFill="1" applyBorder="1"/>
    <xf numFmtId="0" fontId="14" fillId="4" borderId="0" xfId="1" applyFont="1" applyFill="1" applyBorder="1"/>
    <xf numFmtId="0" fontId="13" fillId="4" borderId="23" xfId="1" applyFont="1" applyFill="1" applyBorder="1" applyAlignment="1">
      <alignment horizontal="center"/>
    </xf>
    <xf numFmtId="0" fontId="13" fillId="4" borderId="3" xfId="1" applyFont="1" applyFill="1" applyBorder="1" applyAlignment="1">
      <alignment horizontal="center"/>
    </xf>
    <xf numFmtId="0" fontId="13" fillId="4" borderId="26" xfId="1" applyFont="1" applyFill="1" applyBorder="1" applyAlignment="1">
      <alignment horizontal="center"/>
    </xf>
    <xf numFmtId="1" fontId="14" fillId="4" borderId="23" xfId="1" applyNumberFormat="1" applyFont="1" applyFill="1" applyBorder="1"/>
    <xf numFmtId="0" fontId="14" fillId="4" borderId="3" xfId="1" applyFont="1" applyFill="1" applyBorder="1" applyAlignment="1"/>
    <xf numFmtId="1" fontId="14" fillId="4" borderId="23" xfId="1" applyNumberFormat="1" applyFont="1" applyFill="1" applyBorder="1" applyAlignment="1"/>
    <xf numFmtId="0" fontId="14" fillId="4" borderId="3" xfId="1" applyFont="1" applyFill="1" applyBorder="1" applyAlignment="1">
      <alignment wrapText="1"/>
    </xf>
    <xf numFmtId="0" fontId="14" fillId="4" borderId="26" xfId="1" applyFont="1" applyFill="1" applyBorder="1" applyAlignment="1"/>
    <xf numFmtId="0" fontId="14" fillId="4" borderId="28" xfId="1" applyFont="1" applyFill="1" applyBorder="1"/>
    <xf numFmtId="0" fontId="14" fillId="4" borderId="29" xfId="1" applyFont="1" applyFill="1" applyBorder="1"/>
    <xf numFmtId="0" fontId="0" fillId="4" borderId="0" xfId="0" applyFont="1" applyFill="1" applyAlignment="1">
      <alignment vertical="center" wrapText="1"/>
    </xf>
    <xf numFmtId="0" fontId="11" fillId="4" borderId="10"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23" xfId="0" applyFont="1" applyFill="1" applyBorder="1" applyAlignment="1">
      <alignment horizontal="center" vertical="center"/>
    </xf>
    <xf numFmtId="1" fontId="11" fillId="4" borderId="3" xfId="0" applyNumberFormat="1" applyFont="1" applyFill="1" applyBorder="1" applyAlignment="1">
      <alignment horizontal="center" vertical="center"/>
    </xf>
    <xf numFmtId="0" fontId="0" fillId="4" borderId="19" xfId="0" applyFont="1" applyFill="1" applyBorder="1" applyAlignment="1">
      <alignment horizontal="center" vertical="center"/>
    </xf>
    <xf numFmtId="165" fontId="0" fillId="4" borderId="23" xfId="0" applyNumberFormat="1" applyFont="1" applyFill="1" applyBorder="1" applyAlignment="1">
      <alignment vertical="center"/>
    </xf>
    <xf numFmtId="0" fontId="0" fillId="4" borderId="26" xfId="0" applyFont="1" applyFill="1" applyBorder="1" applyAlignment="1">
      <alignment vertical="center"/>
    </xf>
    <xf numFmtId="1" fontId="0" fillId="4" borderId="3" xfId="0" applyNumberFormat="1" applyFont="1" applyFill="1" applyBorder="1" applyAlignment="1">
      <alignment vertical="center"/>
    </xf>
    <xf numFmtId="165" fontId="0" fillId="4" borderId="23" xfId="0" quotePrefix="1" applyNumberFormat="1" applyFont="1" applyFill="1" applyBorder="1" applyAlignment="1">
      <alignment vertical="center"/>
    </xf>
    <xf numFmtId="165" fontId="0" fillId="4" borderId="3" xfId="0" quotePrefix="1" applyNumberFormat="1" applyFont="1" applyFill="1" applyBorder="1" applyAlignment="1">
      <alignment vertical="center"/>
    </xf>
    <xf numFmtId="0" fontId="0" fillId="4" borderId="45" xfId="0" applyFont="1" applyFill="1" applyBorder="1" applyAlignment="1">
      <alignment vertical="center" wrapText="1"/>
    </xf>
    <xf numFmtId="0" fontId="0" fillId="4" borderId="9" xfId="0" applyFont="1" applyFill="1" applyBorder="1" applyAlignment="1">
      <alignment horizontal="center" vertical="center"/>
    </xf>
    <xf numFmtId="0" fontId="0" fillId="4" borderId="26" xfId="0" applyFont="1" applyFill="1" applyBorder="1"/>
    <xf numFmtId="0" fontId="0" fillId="4" borderId="3" xfId="0" applyFont="1" applyFill="1" applyBorder="1"/>
    <xf numFmtId="0" fontId="0" fillId="4" borderId="42" xfId="0" applyFont="1" applyFill="1" applyBorder="1" applyAlignment="1">
      <alignment horizontal="center" vertical="center" wrapText="1"/>
    </xf>
    <xf numFmtId="165" fontId="0" fillId="4" borderId="27" xfId="0" applyNumberFormat="1" applyFont="1" applyFill="1" applyBorder="1" applyAlignment="1">
      <alignment vertical="center"/>
    </xf>
    <xf numFmtId="165" fontId="0" fillId="4" borderId="28" xfId="0" applyNumberFormat="1" applyFont="1" applyFill="1" applyBorder="1" applyAlignment="1">
      <alignment vertical="center"/>
    </xf>
    <xf numFmtId="0" fontId="0" fillId="4" borderId="29" xfId="0" applyFont="1" applyFill="1" applyBorder="1" applyAlignment="1">
      <alignment vertical="center"/>
    </xf>
    <xf numFmtId="1" fontId="0" fillId="4" borderId="28" xfId="0" applyNumberFormat="1" applyFont="1" applyFill="1" applyBorder="1" applyAlignment="1">
      <alignment vertical="center"/>
    </xf>
    <xf numFmtId="0" fontId="0" fillId="4" borderId="0" xfId="0" applyFont="1" applyFill="1" applyAlignment="1">
      <alignment horizontal="center" vertical="center"/>
    </xf>
    <xf numFmtId="3" fontId="0" fillId="4" borderId="0" xfId="0" applyNumberFormat="1" applyFont="1" applyFill="1" applyAlignment="1">
      <alignment vertical="center"/>
    </xf>
    <xf numFmtId="1" fontId="0" fillId="4" borderId="0" xfId="0" applyNumberFormat="1" applyFont="1" applyFill="1" applyAlignment="1">
      <alignment vertical="center"/>
    </xf>
    <xf numFmtId="0" fontId="0" fillId="4" borderId="23" xfId="0" applyFont="1" applyFill="1" applyBorder="1"/>
    <xf numFmtId="164" fontId="0" fillId="4" borderId="3" xfId="0" applyNumberFormat="1" applyFont="1" applyFill="1" applyBorder="1"/>
    <xf numFmtId="164" fontId="0" fillId="4" borderId="26" xfId="0" applyNumberFormat="1" applyFont="1" applyFill="1" applyBorder="1"/>
    <xf numFmtId="164" fontId="0" fillId="4" borderId="0" xfId="0" applyNumberFormat="1" applyFont="1" applyFill="1"/>
    <xf numFmtId="10" fontId="0" fillId="4" borderId="3" xfId="0" applyNumberFormat="1" applyFont="1" applyFill="1" applyBorder="1"/>
    <xf numFmtId="0" fontId="11" fillId="4" borderId="23" xfId="0" applyFont="1" applyFill="1" applyBorder="1"/>
    <xf numFmtId="0" fontId="11" fillId="4" borderId="3" xfId="0" applyFont="1" applyFill="1" applyBorder="1" applyAlignment="1">
      <alignment horizontal="center"/>
    </xf>
    <xf numFmtId="6" fontId="0" fillId="4" borderId="3" xfId="0" applyNumberFormat="1" applyFont="1" applyFill="1" applyBorder="1"/>
    <xf numFmtId="6" fontId="0" fillId="4" borderId="26" xfId="0" applyNumberFormat="1" applyFont="1" applyFill="1" applyBorder="1"/>
    <xf numFmtId="0" fontId="0" fillId="4" borderId="27" xfId="0" applyFont="1" applyFill="1" applyBorder="1"/>
    <xf numFmtId="0" fontId="0" fillId="4" borderId="28" xfId="0" applyFont="1" applyFill="1" applyBorder="1"/>
    <xf numFmtId="0" fontId="0" fillId="4" borderId="29" xfId="0" applyFont="1" applyFill="1" applyBorder="1"/>
    <xf numFmtId="0" fontId="11" fillId="4" borderId="22" xfId="0" applyFont="1" applyFill="1" applyBorder="1"/>
    <xf numFmtId="0" fontId="11" fillId="4" borderId="24" xfId="0" applyFont="1" applyFill="1" applyBorder="1" applyAlignment="1">
      <alignment horizontal="center"/>
    </xf>
    <xf numFmtId="0" fontId="11" fillId="4" borderId="25" xfId="0" applyFont="1" applyFill="1" applyBorder="1" applyAlignment="1">
      <alignment horizontal="center"/>
    </xf>
    <xf numFmtId="0" fontId="11" fillId="0" borderId="22" xfId="0" applyFont="1" applyFill="1" applyBorder="1" applyAlignment="1">
      <alignment horizontal="center"/>
    </xf>
    <xf numFmtId="0" fontId="11" fillId="0" borderId="24" xfId="0" applyFont="1" applyFill="1" applyBorder="1" applyAlignment="1">
      <alignment horizontal="center"/>
    </xf>
    <xf numFmtId="0" fontId="11" fillId="0" borderId="25" xfId="0" applyFont="1" applyFill="1" applyBorder="1" applyAlignment="1">
      <alignment horizontal="center"/>
    </xf>
    <xf numFmtId="0" fontId="0" fillId="4" borderId="0" xfId="0" applyFont="1" applyFill="1" applyBorder="1"/>
    <xf numFmtId="0" fontId="9" fillId="4" borderId="0" xfId="0" applyFont="1" applyFill="1" applyAlignment="1">
      <alignment vertical="center"/>
    </xf>
    <xf numFmtId="3" fontId="9" fillId="4" borderId="3" xfId="0" applyNumberFormat="1" applyFont="1" applyFill="1" applyBorder="1" applyAlignment="1">
      <alignment vertical="center"/>
    </xf>
    <xf numFmtId="0" fontId="9" fillId="4" borderId="23" xfId="0" applyFont="1" applyFill="1" applyBorder="1" applyAlignment="1">
      <alignment vertical="center"/>
    </xf>
    <xf numFmtId="165" fontId="9" fillId="4" borderId="3" xfId="0" applyNumberFormat="1" applyFont="1" applyFill="1" applyBorder="1" applyAlignment="1">
      <alignment vertical="center"/>
    </xf>
    <xf numFmtId="165" fontId="9" fillId="4" borderId="3" xfId="0" applyNumberFormat="1" applyFont="1" applyFill="1" applyBorder="1" applyAlignment="1">
      <alignment horizontal="center" vertical="center"/>
    </xf>
    <xf numFmtId="165" fontId="9" fillId="4" borderId="26" xfId="0" applyNumberFormat="1" applyFont="1" applyFill="1" applyBorder="1" applyAlignment="1">
      <alignment horizontal="center" vertical="center"/>
    </xf>
    <xf numFmtId="165" fontId="9" fillId="4" borderId="26" xfId="0" applyNumberFormat="1" applyFont="1" applyFill="1" applyBorder="1" applyAlignment="1">
      <alignment vertical="center"/>
    </xf>
    <xf numFmtId="9" fontId="9" fillId="4" borderId="3" xfId="0" applyNumberFormat="1" applyFont="1" applyFill="1" applyBorder="1" applyAlignment="1">
      <alignment vertical="center"/>
    </xf>
    <xf numFmtId="0" fontId="9" fillId="4" borderId="18" xfId="0" applyFont="1" applyFill="1" applyBorder="1" applyAlignment="1">
      <alignment vertical="center"/>
    </xf>
    <xf numFmtId="6" fontId="9" fillId="4" borderId="3" xfId="0" applyNumberFormat="1" applyFont="1" applyFill="1" applyBorder="1" applyAlignment="1">
      <alignment vertical="center"/>
    </xf>
    <xf numFmtId="165" fontId="9" fillId="4" borderId="0" xfId="0" applyNumberFormat="1" applyFont="1" applyFill="1" applyAlignment="1">
      <alignment vertical="center"/>
    </xf>
    <xf numFmtId="0" fontId="9" fillId="4" borderId="0" xfId="0" applyFont="1" applyFill="1" applyBorder="1" applyAlignment="1">
      <alignment vertical="center"/>
    </xf>
    <xf numFmtId="0" fontId="9" fillId="4" borderId="0" xfId="0" applyFont="1" applyFill="1" applyBorder="1" applyAlignment="1">
      <alignment horizontal="left" vertical="center"/>
    </xf>
    <xf numFmtId="6" fontId="9" fillId="4" borderId="0" xfId="0" applyNumberFormat="1" applyFont="1" applyFill="1" applyAlignment="1">
      <alignment vertical="center"/>
    </xf>
    <xf numFmtId="6" fontId="9" fillId="4" borderId="28" xfId="0" applyNumberFormat="1" applyFont="1" applyFill="1" applyBorder="1" applyAlignment="1">
      <alignment vertical="center"/>
    </xf>
    <xf numFmtId="6" fontId="9" fillId="4" borderId="0" xfId="0" applyNumberFormat="1" applyFont="1" applyFill="1" applyBorder="1" applyAlignment="1">
      <alignment vertical="center"/>
    </xf>
    <xf numFmtId="0" fontId="9" fillId="4" borderId="0" xfId="0" applyFont="1" applyFill="1" applyBorder="1" applyAlignment="1">
      <alignment horizontal="center" vertical="center"/>
    </xf>
    <xf numFmtId="0" fontId="14" fillId="4" borderId="0" xfId="1" applyFont="1" applyFill="1" applyAlignment="1">
      <alignment vertical="center"/>
    </xf>
    <xf numFmtId="0" fontId="14" fillId="4" borderId="0" xfId="1" applyFont="1" applyFill="1" applyBorder="1" applyAlignment="1">
      <alignment vertical="center"/>
    </xf>
    <xf numFmtId="164" fontId="14" fillId="4" borderId="0" xfId="1" applyNumberFormat="1" applyFont="1" applyFill="1" applyBorder="1" applyAlignment="1">
      <alignment vertical="center"/>
    </xf>
    <xf numFmtId="164" fontId="14" fillId="4" borderId="3" xfId="1" applyNumberFormat="1" applyFont="1" applyFill="1" applyBorder="1" applyAlignment="1">
      <alignment vertical="center"/>
    </xf>
    <xf numFmtId="10" fontId="14" fillId="4" borderId="3" xfId="1" applyNumberFormat="1" applyFont="1" applyFill="1" applyBorder="1" applyAlignment="1">
      <alignment vertical="center"/>
    </xf>
    <xf numFmtId="0" fontId="11" fillId="4" borderId="3" xfId="0" applyFont="1" applyFill="1" applyBorder="1"/>
    <xf numFmtId="0" fontId="0" fillId="4" borderId="18" xfId="0" applyFont="1" applyFill="1" applyBorder="1"/>
    <xf numFmtId="165" fontId="0" fillId="4" borderId="3" xfId="0" applyNumberFormat="1" applyFont="1" applyFill="1" applyBorder="1"/>
    <xf numFmtId="6" fontId="0" fillId="4" borderId="0" xfId="0" applyNumberFormat="1" applyFont="1" applyFill="1"/>
    <xf numFmtId="0" fontId="11" fillId="0" borderId="3" xfId="0" applyFont="1" applyFill="1" applyBorder="1"/>
    <xf numFmtId="0" fontId="11" fillId="0" borderId="24" xfId="0" applyFont="1" applyFill="1" applyBorder="1"/>
    <xf numFmtId="0" fontId="11" fillId="4" borderId="26" xfId="0" applyFont="1" applyFill="1" applyBorder="1"/>
    <xf numFmtId="165" fontId="0" fillId="4" borderId="26" xfId="0" applyNumberFormat="1" applyFont="1" applyFill="1" applyBorder="1"/>
    <xf numFmtId="0" fontId="15" fillId="4" borderId="15" xfId="0" applyFont="1" applyFill="1" applyBorder="1"/>
    <xf numFmtId="0" fontId="11" fillId="0" borderId="22" xfId="0" applyFont="1" applyFill="1" applyBorder="1"/>
    <xf numFmtId="0" fontId="0" fillId="4" borderId="23" xfId="0" applyFont="1" applyFill="1" applyBorder="1" applyAlignment="1"/>
    <xf numFmtId="0" fontId="15" fillId="4" borderId="15" xfId="0" applyFont="1" applyFill="1" applyBorder="1" applyAlignment="1">
      <alignment horizontal="left" wrapText="1"/>
    </xf>
    <xf numFmtId="0" fontId="0" fillId="4" borderId="22" xfId="0" applyFont="1" applyFill="1" applyBorder="1"/>
    <xf numFmtId="0" fontId="0" fillId="4" borderId="0" xfId="0" applyFont="1" applyFill="1" applyAlignment="1"/>
    <xf numFmtId="0" fontId="0" fillId="4" borderId="0" xfId="0" applyFont="1" applyFill="1" applyAlignment="1">
      <alignment wrapText="1"/>
    </xf>
    <xf numFmtId="164" fontId="0" fillId="4" borderId="26" xfId="0" applyNumberFormat="1" applyFont="1" applyFill="1" applyBorder="1" applyAlignment="1">
      <alignment vertical="center"/>
    </xf>
    <xf numFmtId="0" fontId="16" fillId="4" borderId="23" xfId="0" applyFont="1" applyFill="1" applyBorder="1" applyAlignment="1">
      <alignment vertical="center"/>
    </xf>
    <xf numFmtId="4" fontId="0" fillId="4" borderId="26" xfId="0" applyNumberFormat="1" applyFont="1" applyFill="1" applyBorder="1" applyAlignment="1">
      <alignment vertical="center"/>
    </xf>
    <xf numFmtId="0" fontId="0" fillId="4" borderId="22" xfId="0" applyFont="1" applyFill="1" applyBorder="1" applyAlignment="1">
      <alignment vertical="center"/>
    </xf>
    <xf numFmtId="8" fontId="0" fillId="4" borderId="26" xfId="0" applyNumberFormat="1" applyFont="1" applyFill="1" applyBorder="1" applyAlignment="1">
      <alignment vertical="center"/>
    </xf>
    <xf numFmtId="0" fontId="11" fillId="4" borderId="24" xfId="0" applyFont="1" applyFill="1" applyBorder="1" applyAlignment="1">
      <alignment horizontal="center" vertical="center"/>
    </xf>
    <xf numFmtId="0" fontId="11" fillId="4" borderId="25" xfId="0" applyFont="1" applyFill="1" applyBorder="1" applyAlignment="1">
      <alignment horizontal="center" vertical="center"/>
    </xf>
    <xf numFmtId="0" fontId="11" fillId="4" borderId="56" xfId="0" applyFont="1" applyFill="1" applyBorder="1" applyAlignment="1">
      <alignment horizontal="center" vertical="center"/>
    </xf>
    <xf numFmtId="0" fontId="11" fillId="4" borderId="36" xfId="0" applyFont="1" applyFill="1" applyBorder="1" applyAlignment="1">
      <alignment horizontal="center" vertical="center"/>
    </xf>
    <xf numFmtId="0" fontId="11" fillId="4" borderId="41" xfId="0" applyFont="1" applyFill="1" applyBorder="1" applyAlignment="1">
      <alignment horizontal="center" vertical="center"/>
    </xf>
    <xf numFmtId="0" fontId="0" fillId="4" borderId="38" xfId="0" applyFont="1" applyFill="1" applyBorder="1" applyAlignment="1">
      <alignment vertical="center"/>
    </xf>
    <xf numFmtId="0" fontId="11" fillId="0" borderId="23" xfId="0" applyFont="1" applyFill="1" applyBorder="1"/>
    <xf numFmtId="0" fontId="15" fillId="4" borderId="59" xfId="0" applyFont="1" applyFill="1" applyBorder="1"/>
    <xf numFmtId="0" fontId="0" fillId="4" borderId="53" xfId="0" applyFont="1" applyFill="1" applyBorder="1"/>
    <xf numFmtId="0" fontId="0" fillId="4" borderId="49" xfId="0" applyFont="1" applyFill="1" applyBorder="1"/>
    <xf numFmtId="0" fontId="0" fillId="4" borderId="27" xfId="0" applyFont="1" applyFill="1" applyBorder="1" applyAlignment="1"/>
    <xf numFmtId="0" fontId="14" fillId="4" borderId="18" xfId="1" applyFont="1" applyFill="1" applyBorder="1" applyAlignment="1">
      <alignment horizontal="center"/>
    </xf>
    <xf numFmtId="0" fontId="14" fillId="4" borderId="48" xfId="1" applyFont="1" applyFill="1" applyBorder="1" applyAlignment="1">
      <alignment horizontal="center"/>
    </xf>
    <xf numFmtId="0" fontId="14" fillId="4" borderId="10" xfId="1" applyFont="1" applyFill="1" applyBorder="1" applyAlignment="1">
      <alignment horizontal="center"/>
    </xf>
    <xf numFmtId="0" fontId="14" fillId="4" borderId="34" xfId="1" applyFont="1" applyFill="1" applyBorder="1" applyAlignment="1">
      <alignment horizontal="left"/>
    </xf>
    <xf numFmtId="165" fontId="0" fillId="4" borderId="3" xfId="0" applyNumberFormat="1" applyFont="1" applyFill="1" applyBorder="1" applyAlignment="1">
      <alignment horizontal="center" vertical="center"/>
    </xf>
    <xf numFmtId="165" fontId="0" fillId="4" borderId="26" xfId="0" applyNumberFormat="1" applyFont="1" applyFill="1" applyBorder="1" applyAlignment="1">
      <alignment horizontal="center" vertical="center"/>
    </xf>
    <xf numFmtId="0" fontId="14" fillId="0" borderId="0" xfId="1" applyFont="1" applyFill="1" applyBorder="1" applyAlignment="1"/>
    <xf numFmtId="0" fontId="13" fillId="4" borderId="0" xfId="1" applyFont="1" applyFill="1" applyBorder="1" applyAlignment="1">
      <alignment horizontal="center"/>
    </xf>
    <xf numFmtId="0" fontId="14" fillId="4" borderId="27" xfId="1" applyFont="1" applyFill="1" applyBorder="1" applyAlignment="1">
      <alignment horizontal="left"/>
    </xf>
    <xf numFmtId="0" fontId="14" fillId="4" borderId="28" xfId="1" applyFont="1" applyFill="1" applyBorder="1" applyAlignment="1">
      <alignment horizontal="left"/>
    </xf>
    <xf numFmtId="0" fontId="14" fillId="4" borderId="60" xfId="1" applyFont="1" applyFill="1" applyBorder="1" applyAlignment="1">
      <alignment horizontal="left"/>
    </xf>
    <xf numFmtId="167" fontId="14" fillId="4" borderId="26" xfId="15" applyNumberFormat="1" applyFont="1" applyFill="1" applyBorder="1"/>
    <xf numFmtId="168" fontId="14" fillId="4" borderId="26" xfId="14" applyNumberFormat="1" applyFont="1" applyFill="1" applyBorder="1"/>
    <xf numFmtId="167" fontId="14" fillId="4" borderId="3" xfId="15" applyNumberFormat="1" applyFont="1" applyFill="1" applyBorder="1"/>
    <xf numFmtId="167" fontId="14" fillId="4" borderId="3" xfId="15" applyNumberFormat="1" applyFont="1" applyFill="1" applyBorder="1" applyAlignment="1"/>
    <xf numFmtId="0" fontId="11" fillId="4" borderId="20" xfId="0" applyFont="1" applyFill="1" applyBorder="1"/>
    <xf numFmtId="0" fontId="0" fillId="4" borderId="11" xfId="0" applyFont="1" applyFill="1" applyBorder="1"/>
    <xf numFmtId="0" fontId="0" fillId="4" borderId="7" xfId="0" applyFont="1" applyFill="1" applyBorder="1"/>
    <xf numFmtId="0" fontId="0" fillId="4" borderId="8" xfId="0" applyFont="1" applyFill="1" applyBorder="1"/>
    <xf numFmtId="0" fontId="0" fillId="4" borderId="6" xfId="0" applyFont="1" applyFill="1" applyBorder="1"/>
    <xf numFmtId="0" fontId="0" fillId="4" borderId="8" xfId="0" applyFont="1" applyFill="1" applyBorder="1" applyAlignment="1"/>
    <xf numFmtId="0" fontId="0" fillId="4" borderId="43" xfId="0" applyFont="1" applyFill="1" applyBorder="1"/>
    <xf numFmtId="0" fontId="0" fillId="4" borderId="44" xfId="0" applyFont="1" applyFill="1" applyBorder="1"/>
    <xf numFmtId="0" fontId="0" fillId="4" borderId="45" xfId="0" applyFont="1" applyFill="1" applyBorder="1"/>
    <xf numFmtId="0" fontId="11" fillId="4" borderId="3" xfId="0" applyFont="1" applyFill="1" applyBorder="1" applyAlignment="1">
      <alignment horizontal="center" vertical="center"/>
    </xf>
    <xf numFmtId="165" fontId="0" fillId="4" borderId="3" xfId="0" applyNumberFormat="1" applyFont="1" applyFill="1" applyBorder="1" applyAlignment="1">
      <alignment horizontal="center" vertical="center"/>
    </xf>
    <xf numFmtId="165" fontId="0" fillId="4" borderId="26" xfId="0" applyNumberFormat="1" applyFont="1" applyFill="1" applyBorder="1" applyAlignment="1">
      <alignment horizontal="center" vertical="center"/>
    </xf>
    <xf numFmtId="0" fontId="11" fillId="4" borderId="3" xfId="0" applyFont="1" applyFill="1" applyBorder="1" applyAlignment="1">
      <alignment horizontal="center" vertical="center"/>
    </xf>
    <xf numFmtId="0" fontId="0" fillId="4" borderId="0" xfId="0" applyFont="1" applyFill="1" applyAlignment="1">
      <alignment horizontal="center" vertical="center"/>
    </xf>
    <xf numFmtId="0" fontId="11" fillId="4" borderId="26" xfId="0" applyFont="1" applyFill="1" applyBorder="1" applyAlignment="1">
      <alignment horizontal="center" vertical="center"/>
    </xf>
    <xf numFmtId="165" fontId="11" fillId="4" borderId="3" xfId="0" applyNumberFormat="1" applyFont="1" applyFill="1" applyBorder="1" applyAlignment="1">
      <alignment horizontal="center" vertical="center"/>
    </xf>
    <xf numFmtId="0" fontId="11" fillId="4" borderId="0"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0" borderId="23" xfId="0" applyFont="1" applyFill="1" applyBorder="1" applyAlignment="1">
      <alignment horizontal="center" vertical="center"/>
    </xf>
    <xf numFmtId="165" fontId="11" fillId="0" borderId="3" xfId="0" applyNumberFormat="1" applyFont="1" applyFill="1" applyBorder="1" applyAlignment="1">
      <alignment horizontal="center" vertical="center"/>
    </xf>
    <xf numFmtId="164" fontId="11" fillId="0" borderId="3" xfId="0" applyNumberFormat="1" applyFont="1" applyFill="1" applyBorder="1" applyAlignment="1">
      <alignment horizontal="center" vertical="center"/>
    </xf>
    <xf numFmtId="0" fontId="13" fillId="0" borderId="26" xfId="0" applyFont="1" applyFill="1" applyBorder="1" applyAlignment="1">
      <alignment vertical="center"/>
    </xf>
    <xf numFmtId="0" fontId="20" fillId="4" borderId="0" xfId="16" applyFont="1" applyFill="1" applyBorder="1" applyAlignment="1">
      <alignment vertical="center"/>
    </xf>
    <xf numFmtId="0" fontId="6" fillId="4" borderId="0" xfId="4" applyFont="1" applyFill="1" applyBorder="1" applyAlignment="1">
      <alignment vertical="center"/>
    </xf>
    <xf numFmtId="164" fontId="0" fillId="4" borderId="0" xfId="0" applyNumberFormat="1" applyFont="1" applyFill="1" applyBorder="1" applyAlignment="1">
      <alignment vertical="center"/>
    </xf>
    <xf numFmtId="8" fontId="0" fillId="4" borderId="0" xfId="0" applyNumberFormat="1" applyFont="1" applyFill="1" applyBorder="1" applyAlignment="1">
      <alignment vertical="center"/>
    </xf>
    <xf numFmtId="0" fontId="11" fillId="0" borderId="23" xfId="0" applyFont="1" applyFill="1" applyBorder="1" applyAlignment="1">
      <alignment horizontal="center" vertical="center" wrapText="1"/>
    </xf>
    <xf numFmtId="0" fontId="11" fillId="0" borderId="3" xfId="0" applyFont="1" applyFill="1" applyBorder="1" applyAlignment="1">
      <alignment horizontal="center" vertical="center"/>
    </xf>
    <xf numFmtId="0" fontId="11" fillId="0" borderId="26" xfId="0" applyFont="1" applyFill="1" applyBorder="1" applyAlignment="1">
      <alignment horizontal="center" vertical="center"/>
    </xf>
    <xf numFmtId="164" fontId="0" fillId="4" borderId="3" xfId="0" applyNumberFormat="1" applyFont="1" applyFill="1" applyBorder="1" applyAlignment="1">
      <alignment horizontal="center" vertical="center"/>
    </xf>
    <xf numFmtId="0" fontId="0" fillId="0" borderId="3" xfId="0" applyFont="1" applyFill="1" applyBorder="1" applyAlignment="1">
      <alignment horizontal="center" vertical="center"/>
    </xf>
    <xf numFmtId="0" fontId="0" fillId="0" borderId="26" xfId="0" applyFont="1" applyFill="1" applyBorder="1" applyAlignment="1">
      <alignment horizontal="center" vertical="center"/>
    </xf>
    <xf numFmtId="0" fontId="14" fillId="4" borderId="0" xfId="0" applyFont="1" applyFill="1" applyBorder="1" applyAlignment="1">
      <alignment vertical="center"/>
    </xf>
    <xf numFmtId="0" fontId="14" fillId="4" borderId="0" xfId="16" applyFont="1" applyFill="1" applyBorder="1" applyAlignment="1">
      <alignment vertical="center"/>
    </xf>
    <xf numFmtId="164" fontId="0" fillId="0" borderId="3" xfId="0" applyNumberFormat="1" applyFont="1" applyFill="1" applyBorder="1" applyAlignment="1">
      <alignment horizontal="center" vertical="center"/>
    </xf>
    <xf numFmtId="0" fontId="14" fillId="0" borderId="26" xfId="0" applyFont="1" applyFill="1" applyBorder="1" applyAlignment="1">
      <alignment horizontal="center" vertical="center"/>
    </xf>
    <xf numFmtId="0" fontId="11" fillId="4" borderId="17" xfId="0" applyFont="1" applyFill="1" applyBorder="1" applyAlignment="1">
      <alignment horizontal="center" vertical="center"/>
    </xf>
    <xf numFmtId="165" fontId="0" fillId="4" borderId="17" xfId="0" applyNumberFormat="1" applyFont="1" applyFill="1" applyBorder="1" applyAlignment="1">
      <alignment vertical="center"/>
    </xf>
    <xf numFmtId="165" fontId="0" fillId="4" borderId="17" xfId="0" quotePrefix="1" applyNumberFormat="1" applyFont="1" applyFill="1" applyBorder="1" applyAlignment="1">
      <alignment vertical="center"/>
    </xf>
    <xf numFmtId="165" fontId="0" fillId="4" borderId="62" xfId="0" applyNumberFormat="1" applyFont="1" applyFill="1" applyBorder="1" applyAlignment="1">
      <alignment vertical="center"/>
    </xf>
    <xf numFmtId="0" fontId="0" fillId="4" borderId="60" xfId="0" applyFont="1" applyFill="1" applyBorder="1" applyAlignment="1">
      <alignment vertical="center"/>
    </xf>
    <xf numFmtId="164" fontId="0" fillId="4" borderId="3" xfId="0" quotePrefix="1" applyNumberFormat="1" applyFont="1" applyFill="1" applyBorder="1" applyAlignment="1">
      <alignment vertical="center"/>
    </xf>
    <xf numFmtId="0" fontId="11" fillId="4" borderId="18" xfId="0" applyFont="1" applyFill="1" applyBorder="1" applyAlignment="1">
      <alignment horizontal="center" vertical="center"/>
    </xf>
    <xf numFmtId="0" fontId="11" fillId="4" borderId="3" xfId="0" applyFont="1" applyFill="1" applyBorder="1" applyAlignment="1">
      <alignment horizontal="center" vertical="center"/>
    </xf>
    <xf numFmtId="0" fontId="0" fillId="4" borderId="7" xfId="0" applyFont="1" applyFill="1" applyBorder="1" applyAlignment="1">
      <alignment horizontal="center" vertical="center" wrapText="1"/>
    </xf>
    <xf numFmtId="0" fontId="0" fillId="4" borderId="6" xfId="0" applyFont="1" applyFill="1" applyBorder="1" applyAlignment="1">
      <alignment horizontal="center" vertical="center" wrapText="1"/>
    </xf>
    <xf numFmtId="165" fontId="0" fillId="4" borderId="3" xfId="0" applyNumberFormat="1" applyFont="1" applyFill="1" applyBorder="1" applyAlignment="1">
      <alignment horizontal="center" vertical="center"/>
    </xf>
    <xf numFmtId="165" fontId="0" fillId="4" borderId="26" xfId="0" applyNumberFormat="1" applyFont="1" applyFill="1" applyBorder="1" applyAlignment="1">
      <alignment horizontal="center" vertical="center"/>
    </xf>
    <xf numFmtId="0" fontId="0" fillId="4" borderId="3" xfId="0" applyFont="1" applyFill="1" applyBorder="1" applyAlignment="1">
      <alignment horizontal="center" vertical="center"/>
    </xf>
    <xf numFmtId="0" fontId="0" fillId="4" borderId="3" xfId="0" applyFont="1" applyFill="1" applyBorder="1" applyAlignment="1">
      <alignment horizontal="left" vertical="center"/>
    </xf>
    <xf numFmtId="0" fontId="0" fillId="4" borderId="5" xfId="0" applyFont="1" applyFill="1" applyBorder="1" applyAlignment="1">
      <alignment horizontal="center" vertical="center"/>
    </xf>
    <xf numFmtId="0" fontId="15" fillId="4" borderId="52" xfId="0" applyFont="1" applyFill="1" applyBorder="1" applyAlignment="1">
      <alignment horizontal="left"/>
    </xf>
    <xf numFmtId="0" fontId="15" fillId="4" borderId="30" xfId="0" applyFont="1" applyFill="1" applyBorder="1" applyAlignment="1">
      <alignment horizontal="left"/>
    </xf>
    <xf numFmtId="0" fontId="15" fillId="4" borderId="31" xfId="0" applyFont="1" applyFill="1" applyBorder="1" applyAlignment="1">
      <alignment horizontal="left"/>
    </xf>
    <xf numFmtId="0" fontId="0" fillId="0" borderId="23" xfId="0" applyFont="1" applyFill="1" applyBorder="1"/>
    <xf numFmtId="0" fontId="0" fillId="4" borderId="1" xfId="0" applyFont="1" applyFill="1" applyBorder="1"/>
    <xf numFmtId="0" fontId="0" fillId="4" borderId="12" xfId="0" applyFont="1" applyFill="1" applyBorder="1"/>
    <xf numFmtId="165" fontId="0" fillId="0" borderId="3" xfId="0" applyNumberFormat="1" applyFont="1" applyFill="1" applyBorder="1"/>
    <xf numFmtId="3" fontId="0" fillId="0" borderId="3" xfId="0" applyNumberFormat="1" applyFont="1" applyFill="1" applyBorder="1"/>
    <xf numFmtId="165" fontId="0" fillId="4" borderId="10" xfId="0" applyNumberFormat="1" applyFont="1" applyFill="1" applyBorder="1" applyAlignment="1">
      <alignment vertical="center"/>
    </xf>
    <xf numFmtId="0" fontId="1" fillId="0" borderId="3" xfId="1" applyBorder="1"/>
    <xf numFmtId="1" fontId="1" fillId="0" borderId="3" xfId="0" applyNumberFormat="1" applyFont="1" applyBorder="1" applyAlignment="1">
      <alignment horizontal="right" vertical="center"/>
    </xf>
    <xf numFmtId="0" fontId="21" fillId="0" borderId="18" xfId="1" applyFont="1" applyBorder="1"/>
    <xf numFmtId="0" fontId="14" fillId="4" borderId="10" xfId="1" applyFont="1" applyFill="1" applyBorder="1"/>
    <xf numFmtId="0" fontId="1" fillId="0" borderId="17" xfId="1" applyBorder="1"/>
    <xf numFmtId="0" fontId="11" fillId="4" borderId="3" xfId="0" applyFont="1" applyFill="1" applyBorder="1" applyAlignment="1">
      <alignment horizontal="center" vertical="center"/>
    </xf>
    <xf numFmtId="165" fontId="11" fillId="4" borderId="3" xfId="0" applyNumberFormat="1" applyFont="1" applyFill="1" applyBorder="1" applyAlignment="1">
      <alignment horizontal="center" vertical="center"/>
    </xf>
    <xf numFmtId="0" fontId="11" fillId="4" borderId="26" xfId="0" applyFont="1" applyFill="1" applyBorder="1" applyAlignment="1">
      <alignment horizontal="center" vertical="center"/>
    </xf>
    <xf numFmtId="0" fontId="0" fillId="4" borderId="18" xfId="0" applyFont="1" applyFill="1" applyBorder="1" applyAlignment="1">
      <alignment horizontal="center"/>
    </xf>
    <xf numFmtId="0" fontId="11" fillId="4" borderId="3" xfId="0" applyFont="1" applyFill="1" applyBorder="1" applyAlignment="1">
      <alignment horizontal="center" vertical="center"/>
    </xf>
    <xf numFmtId="164" fontId="0" fillId="4" borderId="3" xfId="0" applyNumberFormat="1" applyFont="1" applyFill="1" applyBorder="1" applyAlignment="1">
      <alignment vertical="center"/>
    </xf>
    <xf numFmtId="0" fontId="11" fillId="2" borderId="0" xfId="0" applyFont="1" applyFill="1" applyAlignment="1">
      <alignment horizontal="left"/>
    </xf>
    <xf numFmtId="0" fontId="11" fillId="2" borderId="0" xfId="0" applyFont="1" applyFill="1"/>
    <xf numFmtId="0" fontId="11" fillId="2" borderId="0" xfId="0" applyFont="1" applyFill="1" applyAlignment="1">
      <alignment horizontal="center"/>
    </xf>
    <xf numFmtId="0" fontId="15" fillId="4" borderId="0" xfId="0" applyFont="1" applyFill="1" applyBorder="1" applyAlignment="1">
      <alignment horizontal="left" wrapText="1"/>
    </xf>
    <xf numFmtId="0" fontId="0" fillId="7" borderId="0" xfId="0" applyFont="1" applyFill="1" applyAlignment="1">
      <alignment horizontal="left"/>
    </xf>
    <xf numFmtId="164" fontId="0" fillId="7" borderId="0" xfId="0" applyNumberFormat="1" applyFont="1" applyFill="1"/>
    <xf numFmtId="0" fontId="0" fillId="7" borderId="0" xfId="0" applyFont="1" applyFill="1"/>
    <xf numFmtId="0" fontId="0" fillId="7" borderId="0" xfId="0" applyFont="1" applyFill="1" applyAlignment="1">
      <alignment horizontal="left" wrapText="1"/>
    </xf>
    <xf numFmtId="0" fontId="14" fillId="7" borderId="0" xfId="11" applyFont="1" applyFill="1" applyBorder="1" applyAlignment="1">
      <alignment horizontal="left" wrapText="1"/>
    </xf>
    <xf numFmtId="165" fontId="0" fillId="7" borderId="0" xfId="0" applyNumberFormat="1" applyFont="1" applyFill="1"/>
    <xf numFmtId="3" fontId="0" fillId="7" borderId="0" xfId="0" applyNumberFormat="1" applyFont="1" applyFill="1"/>
    <xf numFmtId="0" fontId="11" fillId="7" borderId="0" xfId="0" applyFont="1" applyFill="1"/>
    <xf numFmtId="0" fontId="0" fillId="7" borderId="0" xfId="0" applyFont="1" applyFill="1" applyBorder="1"/>
    <xf numFmtId="0" fontId="11" fillId="7" borderId="0" xfId="0" applyFont="1" applyFill="1" applyAlignment="1">
      <alignment horizontal="left"/>
    </xf>
    <xf numFmtId="8" fontId="23" fillId="4" borderId="8" xfId="0" applyNumberFormat="1" applyFont="1" applyFill="1" applyBorder="1" applyAlignment="1">
      <alignment vertical="center"/>
    </xf>
    <xf numFmtId="8" fontId="23" fillId="4" borderId="0" xfId="0" applyNumberFormat="1" applyFont="1" applyFill="1" applyBorder="1" applyAlignment="1">
      <alignment vertical="center"/>
    </xf>
    <xf numFmtId="8" fontId="23" fillId="4" borderId="44" xfId="0" applyNumberFormat="1" applyFont="1" applyFill="1" applyBorder="1" applyAlignment="1">
      <alignment vertical="center"/>
    </xf>
    <xf numFmtId="165" fontId="0" fillId="4" borderId="47" xfId="0" applyNumberFormat="1" applyFont="1" applyFill="1" applyBorder="1" applyAlignment="1">
      <alignment vertical="center"/>
    </xf>
    <xf numFmtId="0" fontId="0" fillId="4" borderId="49" xfId="0" applyFont="1" applyFill="1" applyBorder="1" applyAlignment="1"/>
    <xf numFmtId="0" fontId="0" fillId="4" borderId="39" xfId="0" applyFont="1" applyFill="1" applyBorder="1" applyAlignment="1"/>
    <xf numFmtId="0" fontId="23" fillId="4" borderId="39" xfId="0" applyFont="1" applyFill="1" applyBorder="1" applyAlignment="1"/>
    <xf numFmtId="0" fontId="23" fillId="4" borderId="8" xfId="0" applyFont="1" applyFill="1" applyBorder="1" applyAlignment="1">
      <alignment vertical="center"/>
    </xf>
    <xf numFmtId="6" fontId="0" fillId="4" borderId="18" xfId="0" applyNumberFormat="1" applyFont="1" applyFill="1" applyBorder="1" applyAlignment="1">
      <alignment vertical="center"/>
    </xf>
    <xf numFmtId="0" fontId="23" fillId="4" borderId="0" xfId="0" applyFont="1" applyFill="1" applyBorder="1" applyAlignment="1">
      <alignment vertical="center"/>
    </xf>
    <xf numFmtId="0" fontId="23" fillId="4" borderId="43" xfId="0" applyFont="1" applyFill="1" applyBorder="1" applyAlignment="1">
      <alignment vertical="center"/>
    </xf>
    <xf numFmtId="0" fontId="23" fillId="4" borderId="44" xfId="0" applyFont="1" applyFill="1" applyBorder="1" applyAlignment="1">
      <alignment vertical="center"/>
    </xf>
    <xf numFmtId="0" fontId="9" fillId="4" borderId="20" xfId="0" applyFont="1" applyFill="1" applyBorder="1" applyAlignment="1">
      <alignment vertical="center"/>
    </xf>
    <xf numFmtId="0" fontId="9" fillId="4" borderId="11" xfId="0" applyFont="1" applyFill="1" applyBorder="1" applyAlignment="1">
      <alignment vertical="center"/>
    </xf>
    <xf numFmtId="0" fontId="9" fillId="4" borderId="41" xfId="0" applyFont="1" applyFill="1" applyBorder="1" applyAlignment="1">
      <alignment vertical="center"/>
    </xf>
    <xf numFmtId="0" fontId="9" fillId="4" borderId="14" xfId="0" applyFont="1" applyFill="1" applyBorder="1" applyAlignment="1">
      <alignment vertical="center"/>
    </xf>
    <xf numFmtId="0" fontId="9" fillId="4" borderId="1" xfId="0" applyFont="1" applyFill="1" applyBorder="1" applyAlignment="1">
      <alignment vertical="center"/>
    </xf>
    <xf numFmtId="0" fontId="9" fillId="4" borderId="12" xfId="0" applyFont="1" applyFill="1" applyBorder="1" applyAlignment="1">
      <alignment vertical="center"/>
    </xf>
    <xf numFmtId="8" fontId="9" fillId="4" borderId="0" xfId="0" applyNumberFormat="1" applyFont="1" applyFill="1" applyAlignment="1">
      <alignment vertical="center"/>
    </xf>
    <xf numFmtId="0" fontId="23" fillId="4" borderId="1" xfId="0" applyFont="1" applyFill="1" applyBorder="1" applyAlignment="1">
      <alignment vertical="center"/>
    </xf>
    <xf numFmtId="169" fontId="9" fillId="4" borderId="0" xfId="0" applyNumberFormat="1" applyFont="1" applyFill="1" applyAlignment="1">
      <alignment vertical="center"/>
    </xf>
    <xf numFmtId="170" fontId="0" fillId="4" borderId="0" xfId="0" applyNumberFormat="1" applyFont="1" applyFill="1" applyAlignment="1">
      <alignment vertical="center"/>
    </xf>
    <xf numFmtId="3" fontId="0" fillId="4" borderId="26" xfId="0" applyNumberFormat="1" applyFont="1" applyFill="1" applyBorder="1" applyAlignment="1">
      <alignment vertical="center"/>
    </xf>
    <xf numFmtId="0" fontId="0" fillId="4" borderId="39" xfId="0" applyFont="1" applyFill="1" applyBorder="1" applyAlignment="1">
      <alignment vertical="center"/>
    </xf>
    <xf numFmtId="165" fontId="0" fillId="4" borderId="51" xfId="0" applyNumberFormat="1" applyFont="1" applyFill="1" applyBorder="1" applyAlignment="1">
      <alignment vertical="center"/>
    </xf>
    <xf numFmtId="165" fontId="0" fillId="4" borderId="2" xfId="0" applyNumberFormat="1" applyFont="1" applyFill="1" applyBorder="1" applyAlignment="1">
      <alignment vertical="center"/>
    </xf>
    <xf numFmtId="1" fontId="0" fillId="4" borderId="2" xfId="0" applyNumberFormat="1" applyFont="1" applyFill="1" applyBorder="1" applyAlignment="1">
      <alignment vertical="center"/>
    </xf>
    <xf numFmtId="0" fontId="0" fillId="4" borderId="54" xfId="0" applyFont="1" applyFill="1" applyBorder="1" applyAlignment="1">
      <alignment vertical="center"/>
    </xf>
    <xf numFmtId="0" fontId="0" fillId="4" borderId="2" xfId="0" applyFont="1" applyFill="1" applyBorder="1" applyAlignment="1">
      <alignment horizontal="center" vertical="center"/>
    </xf>
    <xf numFmtId="0" fontId="0" fillId="4" borderId="10" xfId="0" applyFont="1" applyFill="1" applyBorder="1" applyAlignment="1">
      <alignment vertical="center"/>
    </xf>
    <xf numFmtId="0" fontId="23" fillId="4" borderId="39" xfId="0" applyFont="1" applyFill="1" applyBorder="1" applyAlignment="1">
      <alignment vertical="center"/>
    </xf>
    <xf numFmtId="0" fontId="22" fillId="4" borderId="0" xfId="0" applyFont="1" applyFill="1"/>
    <xf numFmtId="6" fontId="0" fillId="4" borderId="11" xfId="0" applyNumberFormat="1" applyFont="1" applyFill="1" applyBorder="1"/>
    <xf numFmtId="165" fontId="0" fillId="4" borderId="47" xfId="0" quotePrefix="1" applyNumberFormat="1" applyFont="1" applyFill="1" applyBorder="1" applyAlignment="1">
      <alignment vertical="center"/>
    </xf>
    <xf numFmtId="165" fontId="0" fillId="4" borderId="32" xfId="0" applyNumberFormat="1" applyFont="1" applyFill="1" applyBorder="1" applyAlignment="1">
      <alignment vertical="center"/>
    </xf>
    <xf numFmtId="0" fontId="11" fillId="4" borderId="38" xfId="0" applyFont="1" applyFill="1" applyBorder="1" applyAlignment="1">
      <alignment horizontal="center" vertical="center"/>
    </xf>
    <xf numFmtId="0" fontId="11" fillId="4" borderId="39" xfId="0" applyFont="1" applyFill="1" applyBorder="1" applyAlignment="1">
      <alignment horizontal="center" vertical="center"/>
    </xf>
    <xf numFmtId="0" fontId="11" fillId="4" borderId="58" xfId="0" applyFont="1" applyFill="1" applyBorder="1" applyAlignment="1">
      <alignment horizontal="center" vertical="center"/>
    </xf>
    <xf numFmtId="0" fontId="11" fillId="4" borderId="50" xfId="0" applyFont="1" applyFill="1" applyBorder="1" applyAlignment="1">
      <alignment horizontal="left" vertical="center"/>
    </xf>
    <xf numFmtId="0" fontId="11" fillId="4" borderId="57" xfId="0" applyFont="1" applyFill="1" applyBorder="1" applyAlignment="1">
      <alignment horizontal="left" vertical="center"/>
    </xf>
    <xf numFmtId="0" fontId="11" fillId="4" borderId="54" xfId="0" applyFont="1" applyFill="1" applyBorder="1" applyAlignment="1">
      <alignment horizontal="center" vertical="center"/>
    </xf>
    <xf numFmtId="0" fontId="11" fillId="4" borderId="42" xfId="0" applyFont="1" applyFill="1" applyBorder="1" applyAlignment="1">
      <alignment horizontal="left" vertical="center"/>
    </xf>
    <xf numFmtId="0" fontId="11" fillId="4" borderId="51" xfId="0" applyFont="1" applyFill="1" applyBorder="1" applyAlignment="1">
      <alignment horizontal="left" vertical="center"/>
    </xf>
    <xf numFmtId="0" fontId="11" fillId="4" borderId="42" xfId="0" applyFont="1" applyFill="1" applyBorder="1" applyAlignment="1">
      <alignment vertical="center"/>
    </xf>
    <xf numFmtId="0" fontId="11" fillId="4" borderId="50" xfId="0" applyFont="1" applyFill="1" applyBorder="1" applyAlignment="1">
      <alignment vertical="center"/>
    </xf>
    <xf numFmtId="0" fontId="11" fillId="4" borderId="64" xfId="0" applyFont="1" applyFill="1" applyBorder="1" applyAlignment="1">
      <alignment vertical="center"/>
    </xf>
    <xf numFmtId="0" fontId="11" fillId="4" borderId="51" xfId="0" applyFont="1" applyFill="1" applyBorder="1" applyAlignment="1">
      <alignment vertical="center"/>
    </xf>
    <xf numFmtId="0" fontId="0" fillId="4" borderId="19" xfId="0" applyFont="1" applyFill="1" applyBorder="1" applyAlignment="1">
      <alignment horizontal="left" vertical="center" wrapText="1"/>
    </xf>
    <xf numFmtId="0" fontId="0" fillId="4" borderId="9" xfId="0" applyFont="1" applyFill="1" applyBorder="1" applyAlignment="1">
      <alignment horizontal="left" vertical="center" wrapText="1"/>
    </xf>
    <xf numFmtId="0" fontId="0" fillId="4" borderId="2" xfId="0" applyFont="1" applyFill="1" applyBorder="1" applyAlignment="1">
      <alignment horizontal="left" vertical="center" wrapText="1"/>
    </xf>
    <xf numFmtId="0" fontId="11" fillId="4" borderId="3" xfId="0" applyFont="1" applyFill="1" applyBorder="1" applyAlignment="1">
      <alignment horizontal="center" vertical="center"/>
    </xf>
    <xf numFmtId="0" fontId="11" fillId="4" borderId="19" xfId="0" applyFont="1" applyFill="1" applyBorder="1" applyAlignment="1">
      <alignment horizontal="center" vertical="center"/>
    </xf>
    <xf numFmtId="0" fontId="0" fillId="4" borderId="0" xfId="0" applyFont="1" applyFill="1" applyAlignment="1">
      <alignment horizontal="center" vertical="center"/>
    </xf>
    <xf numFmtId="0" fontId="11" fillId="4" borderId="59"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42"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5" borderId="56" xfId="0" applyFont="1" applyFill="1" applyBorder="1" applyAlignment="1">
      <alignment horizontal="center" vertical="center"/>
    </xf>
    <xf numFmtId="0" fontId="11" fillId="5" borderId="24" xfId="0" applyFont="1" applyFill="1" applyBorder="1" applyAlignment="1">
      <alignment horizontal="center" vertical="center"/>
    </xf>
    <xf numFmtId="0" fontId="11" fillId="5" borderId="25" xfId="0" applyFont="1" applyFill="1" applyBorder="1" applyAlignment="1">
      <alignment horizontal="center" vertical="center"/>
    </xf>
    <xf numFmtId="0" fontId="11" fillId="5" borderId="22" xfId="0" applyFont="1" applyFill="1" applyBorder="1" applyAlignment="1">
      <alignment horizontal="center" vertical="center"/>
    </xf>
    <xf numFmtId="0" fontId="11" fillId="5" borderId="63"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43" xfId="0" applyFont="1" applyFill="1" applyBorder="1" applyAlignment="1">
      <alignment horizontal="center" vertical="center"/>
    </xf>
    <xf numFmtId="0" fontId="0" fillId="4" borderId="7" xfId="0" applyFont="1" applyFill="1" applyBorder="1" applyAlignment="1">
      <alignment horizontal="center" vertical="center" wrapText="1"/>
    </xf>
    <xf numFmtId="0" fontId="0" fillId="4" borderId="6" xfId="0" applyFont="1" applyFill="1" applyBorder="1" applyAlignment="1">
      <alignment horizontal="center" vertical="center" wrapText="1"/>
    </xf>
    <xf numFmtId="0" fontId="0" fillId="4" borderId="45" xfId="0" applyFont="1" applyFill="1" applyBorder="1" applyAlignment="1">
      <alignment horizontal="center" vertical="center" wrapText="1"/>
    </xf>
    <xf numFmtId="0" fontId="14" fillId="4" borderId="23" xfId="1" applyFont="1" applyFill="1" applyBorder="1" applyAlignment="1">
      <alignment horizontal="center"/>
    </xf>
    <xf numFmtId="0" fontId="14" fillId="4" borderId="3" xfId="1" applyFont="1" applyFill="1" applyBorder="1" applyAlignment="1">
      <alignment horizontal="center"/>
    </xf>
    <xf numFmtId="0" fontId="13" fillId="4" borderId="23" xfId="1" applyFont="1" applyFill="1" applyBorder="1" applyAlignment="1">
      <alignment horizontal="center"/>
    </xf>
    <xf numFmtId="0" fontId="13" fillId="4" borderId="3" xfId="1" applyFont="1" applyFill="1" applyBorder="1" applyAlignment="1">
      <alignment horizontal="center"/>
    </xf>
    <xf numFmtId="0" fontId="14" fillId="4" borderId="26" xfId="1" applyFont="1" applyFill="1" applyBorder="1" applyAlignment="1">
      <alignment horizontal="center"/>
    </xf>
    <xf numFmtId="1" fontId="14" fillId="4" borderId="3" xfId="1" applyNumberFormat="1" applyFont="1" applyFill="1" applyBorder="1" applyAlignment="1">
      <alignment horizontal="center"/>
    </xf>
    <xf numFmtId="1" fontId="14" fillId="4" borderId="26" xfId="1" applyNumberFormat="1" applyFont="1" applyFill="1" applyBorder="1" applyAlignment="1">
      <alignment horizontal="center"/>
    </xf>
    <xf numFmtId="0" fontId="13" fillId="4" borderId="15" xfId="1" applyFont="1" applyFill="1" applyBorder="1" applyAlignment="1">
      <alignment horizontal="center"/>
    </xf>
    <xf numFmtId="0" fontId="13" fillId="4" borderId="0" xfId="1" applyFont="1" applyFill="1" applyBorder="1" applyAlignment="1">
      <alignment horizontal="center"/>
    </xf>
    <xf numFmtId="0" fontId="13" fillId="4" borderId="37" xfId="1" applyFont="1" applyFill="1" applyBorder="1" applyAlignment="1">
      <alignment horizontal="center"/>
    </xf>
    <xf numFmtId="0" fontId="13" fillId="4" borderId="35" xfId="1" applyFont="1" applyFill="1" applyBorder="1" applyAlignment="1">
      <alignment horizontal="center"/>
    </xf>
    <xf numFmtId="0" fontId="13" fillId="4" borderId="36" xfId="1" applyFont="1" applyFill="1" applyBorder="1" applyAlignment="1">
      <alignment horizontal="center"/>
    </xf>
    <xf numFmtId="0" fontId="14" fillId="4" borderId="40" xfId="1" applyFont="1" applyFill="1" applyBorder="1" applyAlignment="1">
      <alignment horizontal="center"/>
    </xf>
    <xf numFmtId="0" fontId="14" fillId="4" borderId="11" xfId="1" applyFont="1" applyFill="1" applyBorder="1" applyAlignment="1">
      <alignment horizontal="center"/>
    </xf>
    <xf numFmtId="0" fontId="14" fillId="4" borderId="7" xfId="1" applyFont="1" applyFill="1" applyBorder="1" applyAlignment="1">
      <alignment horizontal="center"/>
    </xf>
    <xf numFmtId="0" fontId="14" fillId="4" borderId="15" xfId="1" applyFont="1" applyFill="1" applyBorder="1" applyAlignment="1">
      <alignment horizontal="center"/>
    </xf>
    <xf numFmtId="0" fontId="14" fillId="4" borderId="0" xfId="1" applyFont="1" applyFill="1" applyBorder="1" applyAlignment="1">
      <alignment horizontal="center"/>
    </xf>
    <xf numFmtId="0" fontId="14" fillId="4" borderId="6" xfId="1" applyFont="1" applyFill="1" applyBorder="1" applyAlignment="1">
      <alignment horizontal="center"/>
    </xf>
    <xf numFmtId="0" fontId="14" fillId="4" borderId="13" xfId="1" applyFont="1" applyFill="1" applyBorder="1" applyAlignment="1">
      <alignment horizontal="center"/>
    </xf>
    <xf numFmtId="0" fontId="14" fillId="4" borderId="1" xfId="1" applyFont="1" applyFill="1" applyBorder="1" applyAlignment="1">
      <alignment horizontal="center"/>
    </xf>
    <xf numFmtId="0" fontId="14" fillId="4" borderId="4" xfId="1" applyFont="1" applyFill="1" applyBorder="1" applyAlignment="1">
      <alignment horizontal="center"/>
    </xf>
    <xf numFmtId="0" fontId="14" fillId="4" borderId="19" xfId="1" applyFont="1" applyFill="1" applyBorder="1" applyAlignment="1">
      <alignment horizontal="center"/>
    </xf>
    <xf numFmtId="0" fontId="14" fillId="4" borderId="9" xfId="1" applyFont="1" applyFill="1" applyBorder="1" applyAlignment="1">
      <alignment horizontal="center"/>
    </xf>
    <xf numFmtId="0" fontId="14" fillId="4" borderId="2" xfId="1" applyFont="1" applyFill="1" applyBorder="1" applyAlignment="1">
      <alignment horizontal="center"/>
    </xf>
    <xf numFmtId="0" fontId="14" fillId="4" borderId="47" xfId="1" applyFont="1" applyFill="1" applyBorder="1" applyAlignment="1">
      <alignment horizontal="center"/>
    </xf>
    <xf numFmtId="0" fontId="14" fillId="4" borderId="17" xfId="1" applyFont="1" applyFill="1" applyBorder="1" applyAlignment="1">
      <alignment horizontal="center"/>
    </xf>
    <xf numFmtId="0" fontId="15" fillId="4" borderId="1" xfId="0" applyFont="1" applyFill="1" applyBorder="1" applyAlignment="1">
      <alignment vertical="center" wrapText="1"/>
    </xf>
    <xf numFmtId="0" fontId="0" fillId="0" borderId="1" xfId="0" applyBorder="1" applyAlignment="1">
      <alignment vertical="center" wrapText="1"/>
    </xf>
    <xf numFmtId="165" fontId="0" fillId="4" borderId="3" xfId="0" applyNumberFormat="1" applyFont="1" applyFill="1" applyBorder="1" applyAlignment="1">
      <alignment horizontal="center" vertical="center"/>
    </xf>
    <xf numFmtId="165" fontId="0" fillId="4" borderId="26" xfId="0" applyNumberFormat="1" applyFont="1" applyFill="1" applyBorder="1" applyAlignment="1">
      <alignment horizontal="center" vertical="center"/>
    </xf>
    <xf numFmtId="165" fontId="11" fillId="4" borderId="3" xfId="0" applyNumberFormat="1" applyFont="1" applyFill="1" applyBorder="1" applyAlignment="1">
      <alignment horizontal="center" vertical="center"/>
    </xf>
    <xf numFmtId="0" fontId="0" fillId="4" borderId="47" xfId="0" applyFont="1" applyFill="1" applyBorder="1" applyAlignment="1">
      <alignment horizontal="left" vertical="center"/>
    </xf>
    <xf numFmtId="0" fontId="0" fillId="4" borderId="10" xfId="0" applyFont="1" applyFill="1" applyBorder="1" applyAlignment="1">
      <alignment horizontal="left" vertical="center"/>
    </xf>
    <xf numFmtId="0" fontId="0" fillId="4" borderId="48" xfId="0" applyFont="1" applyFill="1" applyBorder="1" applyAlignment="1">
      <alignment horizontal="left" vertical="center"/>
    </xf>
    <xf numFmtId="0" fontId="0" fillId="4" borderId="32" xfId="0" applyFont="1" applyFill="1" applyBorder="1" applyAlignment="1">
      <alignment horizontal="left" vertical="center"/>
    </xf>
    <xf numFmtId="0" fontId="0" fillId="4" borderId="33" xfId="0" applyFont="1" applyFill="1" applyBorder="1" applyAlignment="1">
      <alignment horizontal="left" vertical="center"/>
    </xf>
    <xf numFmtId="0" fontId="0" fillId="4" borderId="34" xfId="0" applyFont="1" applyFill="1" applyBorder="1" applyAlignment="1">
      <alignment horizontal="left" vertical="center"/>
    </xf>
    <xf numFmtId="0" fontId="0" fillId="4" borderId="23"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26" xfId="0" applyFont="1" applyFill="1" applyBorder="1" applyAlignment="1">
      <alignment horizontal="center" vertical="center"/>
    </xf>
    <xf numFmtId="0" fontId="11" fillId="4" borderId="26" xfId="0" applyFont="1" applyFill="1" applyBorder="1" applyAlignment="1">
      <alignment horizontal="center" vertical="center"/>
    </xf>
    <xf numFmtId="0" fontId="0" fillId="4" borderId="23" xfId="0" applyFont="1" applyFill="1" applyBorder="1" applyAlignment="1">
      <alignment horizontal="left" vertical="center"/>
    </xf>
    <xf numFmtId="0" fontId="0" fillId="4" borderId="3" xfId="0" applyFont="1" applyFill="1" applyBorder="1" applyAlignment="1">
      <alignment horizontal="left" vertical="center"/>
    </xf>
    <xf numFmtId="0" fontId="0" fillId="4" borderId="26" xfId="0" applyFont="1" applyFill="1" applyBorder="1" applyAlignment="1">
      <alignment horizontal="left" vertical="center"/>
    </xf>
    <xf numFmtId="0" fontId="0" fillId="4" borderId="47" xfId="0" applyFont="1" applyFill="1" applyBorder="1" applyAlignment="1">
      <alignment horizontal="center" vertical="center"/>
    </xf>
    <xf numFmtId="0" fontId="0" fillId="4" borderId="10" xfId="0" applyFont="1" applyFill="1" applyBorder="1" applyAlignment="1">
      <alignment horizontal="center" vertical="center"/>
    </xf>
    <xf numFmtId="0" fontId="0" fillId="4" borderId="44" xfId="0" applyFont="1" applyFill="1" applyBorder="1" applyAlignment="1">
      <alignment horizontal="center" vertical="center"/>
    </xf>
    <xf numFmtId="0" fontId="0" fillId="4" borderId="48" xfId="0" applyFont="1" applyFill="1" applyBorder="1" applyAlignment="1">
      <alignment horizontal="center" vertical="center"/>
    </xf>
    <xf numFmtId="0" fontId="11" fillId="5" borderId="52" xfId="0" applyFont="1" applyFill="1" applyBorder="1" applyAlignment="1">
      <alignment horizontal="center"/>
    </xf>
    <xf numFmtId="0" fontId="11" fillId="5" borderId="30" xfId="0" applyFont="1" applyFill="1" applyBorder="1" applyAlignment="1">
      <alignment horizontal="center"/>
    </xf>
    <xf numFmtId="0" fontId="11" fillId="5" borderId="31" xfId="0" applyFont="1" applyFill="1" applyBorder="1" applyAlignment="1">
      <alignment horizontal="center"/>
    </xf>
    <xf numFmtId="0" fontId="0" fillId="4" borderId="32" xfId="0" applyFont="1" applyFill="1" applyBorder="1" applyAlignment="1">
      <alignment wrapText="1"/>
    </xf>
    <xf numFmtId="0" fontId="0" fillId="0" borderId="33" xfId="0" applyBorder="1" applyAlignment="1">
      <alignment wrapText="1"/>
    </xf>
    <xf numFmtId="0" fontId="0" fillId="0" borderId="34" xfId="0" applyBorder="1" applyAlignment="1">
      <alignment wrapText="1"/>
    </xf>
    <xf numFmtId="0" fontId="15" fillId="4" borderId="0" xfId="0" applyFont="1" applyFill="1" applyAlignment="1">
      <alignment wrapText="1"/>
    </xf>
    <xf numFmtId="0" fontId="0" fillId="0" borderId="0" xfId="0" applyAlignment="1">
      <alignment wrapText="1"/>
    </xf>
    <xf numFmtId="0" fontId="15" fillId="4" borderId="1" xfId="0" applyFont="1" applyFill="1" applyBorder="1" applyAlignment="1">
      <alignment wrapText="1"/>
    </xf>
    <xf numFmtId="0" fontId="0" fillId="0" borderId="1" xfId="0" applyBorder="1" applyAlignment="1">
      <alignment wrapText="1"/>
    </xf>
    <xf numFmtId="0" fontId="0" fillId="4" borderId="53" xfId="0" applyFont="1" applyFill="1" applyBorder="1" applyAlignment="1">
      <alignment horizontal="center"/>
    </xf>
    <xf numFmtId="0" fontId="0" fillId="4" borderId="9" xfId="0" applyFont="1" applyFill="1" applyBorder="1" applyAlignment="1">
      <alignment horizontal="center"/>
    </xf>
    <xf numFmtId="0" fontId="0" fillId="4" borderId="2" xfId="0" applyFont="1" applyFill="1" applyBorder="1" applyAlignment="1">
      <alignment horizontal="center"/>
    </xf>
    <xf numFmtId="0" fontId="0" fillId="4" borderId="18" xfId="0" applyFont="1" applyFill="1" applyBorder="1" applyAlignment="1">
      <alignment horizontal="center"/>
    </xf>
    <xf numFmtId="0" fontId="0" fillId="4" borderId="10" xfId="0" applyFont="1" applyFill="1" applyBorder="1" applyAlignment="1">
      <alignment horizontal="center"/>
    </xf>
    <xf numFmtId="0" fontId="0" fillId="4" borderId="17" xfId="0" applyFont="1" applyFill="1" applyBorder="1" applyAlignment="1">
      <alignment horizontal="center"/>
    </xf>
    <xf numFmtId="0" fontId="0" fillId="4" borderId="47" xfId="0" applyFont="1" applyFill="1" applyBorder="1" applyAlignment="1">
      <alignment horizontal="center"/>
    </xf>
    <xf numFmtId="0" fontId="0" fillId="4" borderId="49" xfId="0" applyFont="1" applyFill="1" applyBorder="1" applyAlignment="1">
      <alignment horizontal="center"/>
    </xf>
    <xf numFmtId="0" fontId="0" fillId="4" borderId="39" xfId="0" applyFont="1" applyFill="1" applyBorder="1" applyAlignment="1">
      <alignment horizontal="center"/>
    </xf>
    <xf numFmtId="0" fontId="0" fillId="4" borderId="54" xfId="0" applyFont="1" applyFill="1" applyBorder="1" applyAlignment="1">
      <alignment horizontal="center"/>
    </xf>
    <xf numFmtId="0" fontId="0" fillId="4" borderId="55" xfId="0" applyFont="1" applyFill="1" applyBorder="1" applyAlignment="1">
      <alignment horizontal="center"/>
    </xf>
    <xf numFmtId="0" fontId="0" fillId="4" borderId="16" xfId="0" applyFont="1" applyFill="1" applyBorder="1" applyAlignment="1">
      <alignment horizontal="center"/>
    </xf>
    <xf numFmtId="0" fontId="0" fillId="4" borderId="8" xfId="0" applyFont="1" applyFill="1" applyBorder="1" applyAlignment="1">
      <alignment horizontal="center"/>
    </xf>
    <xf numFmtId="0" fontId="0" fillId="4" borderId="14" xfId="0" applyFont="1" applyFill="1" applyBorder="1" applyAlignment="1">
      <alignment horizontal="center"/>
    </xf>
    <xf numFmtId="0" fontId="0" fillId="4" borderId="43" xfId="0" applyFont="1" applyFill="1" applyBorder="1" applyAlignment="1">
      <alignment horizontal="center"/>
    </xf>
    <xf numFmtId="0" fontId="0" fillId="4" borderId="46" xfId="0" applyFont="1" applyFill="1" applyBorder="1" applyAlignment="1">
      <alignment horizontal="center"/>
    </xf>
    <xf numFmtId="0" fontId="0" fillId="0" borderId="1" xfId="0" applyFont="1" applyBorder="1" applyAlignment="1">
      <alignment wrapText="1"/>
    </xf>
    <xf numFmtId="0" fontId="0" fillId="4" borderId="2" xfId="0" applyFont="1" applyFill="1" applyBorder="1" applyAlignment="1">
      <alignment horizontal="center" vertical="center"/>
    </xf>
    <xf numFmtId="0" fontId="9" fillId="4" borderId="37" xfId="0" applyFont="1" applyFill="1" applyBorder="1" applyAlignment="1">
      <alignment horizontal="center" vertical="center"/>
    </xf>
    <xf numFmtId="0" fontId="9" fillId="4" borderId="35" xfId="0" applyFont="1" applyFill="1" applyBorder="1" applyAlignment="1">
      <alignment horizontal="center" vertical="center"/>
    </xf>
    <xf numFmtId="0" fontId="9" fillId="4" borderId="36" xfId="0" applyFont="1" applyFill="1" applyBorder="1" applyAlignment="1">
      <alignment horizontal="center" vertical="center"/>
    </xf>
    <xf numFmtId="0" fontId="18" fillId="4" borderId="1" xfId="1" applyFont="1" applyFill="1" applyBorder="1" applyAlignment="1">
      <alignment vertical="center" wrapText="1"/>
    </xf>
    <xf numFmtId="0" fontId="9" fillId="4" borderId="23" xfId="0" applyFont="1" applyFill="1" applyBorder="1" applyAlignment="1">
      <alignment horizontal="left" vertical="center"/>
    </xf>
    <xf numFmtId="0" fontId="9" fillId="4" borderId="3" xfId="0" applyFont="1" applyFill="1" applyBorder="1" applyAlignment="1">
      <alignment horizontal="left" vertical="center"/>
    </xf>
    <xf numFmtId="0" fontId="9" fillId="4" borderId="26" xfId="0" applyFont="1" applyFill="1" applyBorder="1" applyAlignment="1">
      <alignment horizontal="left" vertical="center"/>
    </xf>
    <xf numFmtId="0" fontId="9" fillId="4" borderId="3" xfId="0" applyFont="1" applyFill="1" applyBorder="1" applyAlignment="1">
      <alignment horizontal="center" vertical="center"/>
    </xf>
    <xf numFmtId="0" fontId="9" fillId="4" borderId="26" xfId="0" applyFont="1" applyFill="1" applyBorder="1" applyAlignment="1">
      <alignment horizontal="center" vertical="center"/>
    </xf>
    <xf numFmtId="0" fontId="9" fillId="4" borderId="28" xfId="0" applyFont="1" applyFill="1" applyBorder="1" applyAlignment="1">
      <alignment horizontal="center" vertical="center"/>
    </xf>
    <xf numFmtId="0" fontId="9" fillId="4" borderId="29" xfId="0" applyFont="1" applyFill="1" applyBorder="1" applyAlignment="1">
      <alignment horizontal="center" vertical="center"/>
    </xf>
    <xf numFmtId="165" fontId="9" fillId="4" borderId="3" xfId="0" applyNumberFormat="1" applyFont="1" applyFill="1" applyBorder="1" applyAlignment="1">
      <alignment horizontal="center" vertical="center"/>
    </xf>
    <xf numFmtId="165" fontId="9" fillId="4" borderId="26" xfId="0" applyNumberFormat="1" applyFont="1" applyFill="1" applyBorder="1" applyAlignment="1">
      <alignment horizontal="center" vertical="center"/>
    </xf>
    <xf numFmtId="0" fontId="9" fillId="4" borderId="23" xfId="0" applyFont="1" applyFill="1" applyBorder="1" applyAlignment="1">
      <alignment horizontal="center" vertical="center"/>
    </xf>
    <xf numFmtId="0" fontId="9" fillId="4" borderId="44" xfId="0" applyFont="1" applyFill="1" applyBorder="1" applyAlignment="1">
      <alignment horizontal="center" vertical="center"/>
    </xf>
    <xf numFmtId="0" fontId="9" fillId="4" borderId="32" xfId="0" applyFont="1" applyFill="1" applyBorder="1" applyAlignment="1">
      <alignment horizontal="left" vertical="center"/>
    </xf>
    <xf numFmtId="0" fontId="9" fillId="4" borderId="33" xfId="0" applyFont="1" applyFill="1" applyBorder="1" applyAlignment="1">
      <alignment horizontal="left" vertical="center"/>
    </xf>
    <xf numFmtId="0" fontId="9" fillId="4" borderId="34" xfId="0" applyFont="1" applyFill="1" applyBorder="1" applyAlignment="1">
      <alignment horizontal="left" vertical="center"/>
    </xf>
    <xf numFmtId="0" fontId="11" fillId="5" borderId="37" xfId="0" applyFont="1" applyFill="1" applyBorder="1" applyAlignment="1">
      <alignment horizontal="center" vertical="center"/>
    </xf>
    <xf numFmtId="0" fontId="11" fillId="5" borderId="35" xfId="0" applyFont="1" applyFill="1" applyBorder="1" applyAlignment="1">
      <alignment horizontal="center" vertical="center"/>
    </xf>
    <xf numFmtId="0" fontId="11" fillId="5" borderId="36" xfId="0" applyFont="1" applyFill="1" applyBorder="1" applyAlignment="1">
      <alignment horizontal="center" vertical="center"/>
    </xf>
    <xf numFmtId="0" fontId="11" fillId="5" borderId="23"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26" xfId="0" applyFont="1" applyFill="1" applyBorder="1" applyAlignment="1">
      <alignment horizontal="center" vertical="center"/>
    </xf>
    <xf numFmtId="0" fontId="15" fillId="4" borderId="0" xfId="0" applyFont="1" applyFill="1" applyAlignment="1">
      <alignment horizontal="left" vertical="center" wrapText="1"/>
    </xf>
    <xf numFmtId="0" fontId="0" fillId="4" borderId="32" xfId="0" applyFont="1" applyFill="1"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11" fillId="4" borderId="22" xfId="0" applyFont="1" applyFill="1" applyBorder="1" applyAlignment="1">
      <alignment horizontal="center" vertical="center"/>
    </xf>
    <xf numFmtId="0" fontId="11" fillId="4" borderId="25" xfId="0" applyFont="1" applyFill="1" applyBorder="1" applyAlignment="1">
      <alignment horizontal="center" vertical="center"/>
    </xf>
    <xf numFmtId="0" fontId="11" fillId="5" borderId="52" xfId="0" applyFont="1" applyFill="1" applyBorder="1" applyAlignment="1">
      <alignment horizontal="center" vertical="center"/>
    </xf>
    <xf numFmtId="0" fontId="11" fillId="5" borderId="30" xfId="0" applyFont="1" applyFill="1" applyBorder="1" applyAlignment="1">
      <alignment horizontal="center" vertical="center"/>
    </xf>
    <xf numFmtId="0" fontId="11" fillId="5" borderId="31" xfId="0" applyFont="1" applyFill="1" applyBorder="1" applyAlignment="1">
      <alignment horizontal="center" vertical="center"/>
    </xf>
    <xf numFmtId="0" fontId="0" fillId="4" borderId="37" xfId="0" applyFont="1" applyFill="1" applyBorder="1" applyAlignment="1">
      <alignment vertical="center" wrapText="1"/>
    </xf>
    <xf numFmtId="0" fontId="0" fillId="0" borderId="35" xfId="0" applyBorder="1" applyAlignment="1">
      <alignment vertical="center" wrapText="1"/>
    </xf>
    <xf numFmtId="0" fontId="0" fillId="0" borderId="36" xfId="0" applyBorder="1" applyAlignment="1">
      <alignment vertical="center" wrapText="1"/>
    </xf>
    <xf numFmtId="0" fontId="11" fillId="5" borderId="15" xfId="0" applyFont="1" applyFill="1" applyBorder="1" applyAlignment="1">
      <alignment horizontal="center" wrapText="1"/>
    </xf>
    <xf numFmtId="0" fontId="11" fillId="5" borderId="0" xfId="0" applyFont="1" applyFill="1" applyBorder="1" applyAlignment="1">
      <alignment horizontal="center" wrapText="1"/>
    </xf>
    <xf numFmtId="0" fontId="15" fillId="4" borderId="1" xfId="0" applyFont="1" applyFill="1" applyBorder="1" applyAlignment="1">
      <alignment horizontal="left" wrapText="1"/>
    </xf>
    <xf numFmtId="0" fontId="11" fillId="5" borderId="22" xfId="0" applyFont="1" applyFill="1" applyBorder="1" applyAlignment="1">
      <alignment horizontal="center"/>
    </xf>
    <xf numFmtId="0" fontId="11" fillId="5" borderId="24" xfId="0" applyFont="1" applyFill="1" applyBorder="1" applyAlignment="1">
      <alignment horizontal="center"/>
    </xf>
    <xf numFmtId="0" fontId="11" fillId="5" borderId="25" xfId="0" applyFont="1" applyFill="1" applyBorder="1" applyAlignment="1">
      <alignment horizontal="center"/>
    </xf>
    <xf numFmtId="0" fontId="15" fillId="4" borderId="47" xfId="0" applyFont="1" applyFill="1" applyBorder="1" applyAlignment="1">
      <alignment horizontal="center"/>
    </xf>
    <xf numFmtId="0" fontId="15" fillId="4" borderId="17" xfId="0" applyFont="1" applyFill="1" applyBorder="1" applyAlignment="1">
      <alignment horizontal="center"/>
    </xf>
    <xf numFmtId="0" fontId="0" fillId="4" borderId="20" xfId="0" applyFont="1" applyFill="1" applyBorder="1" applyAlignment="1">
      <alignment horizontal="center"/>
    </xf>
    <xf numFmtId="0" fontId="0" fillId="4" borderId="11" xfId="0" applyFont="1" applyFill="1" applyBorder="1" applyAlignment="1">
      <alignment horizontal="center"/>
    </xf>
    <xf numFmtId="0" fontId="0" fillId="4" borderId="41" xfId="0" applyFont="1" applyFill="1" applyBorder="1" applyAlignment="1">
      <alignment horizontal="center"/>
    </xf>
    <xf numFmtId="0" fontId="0" fillId="4" borderId="0" xfId="0" applyFont="1" applyFill="1" applyBorder="1" applyAlignment="1">
      <alignment horizontal="center"/>
    </xf>
    <xf numFmtId="0" fontId="0" fillId="4" borderId="44" xfId="0" applyFont="1" applyFill="1" applyBorder="1" applyAlignment="1">
      <alignment horizontal="center"/>
    </xf>
    <xf numFmtId="0" fontId="0" fillId="4" borderId="32" xfId="0" applyFont="1" applyFill="1" applyBorder="1" applyAlignment="1">
      <alignment horizontal="left" wrapText="1"/>
    </xf>
    <xf numFmtId="0" fontId="0" fillId="4" borderId="33" xfId="0" applyFont="1" applyFill="1" applyBorder="1" applyAlignment="1">
      <alignment horizontal="left" wrapText="1"/>
    </xf>
    <xf numFmtId="0" fontId="0" fillId="4" borderId="34" xfId="0" applyFont="1" applyFill="1" applyBorder="1" applyAlignment="1">
      <alignment horizontal="left" wrapText="1"/>
    </xf>
    <xf numFmtId="0" fontId="0" fillId="4" borderId="48" xfId="0" applyFont="1" applyFill="1" applyBorder="1" applyAlignment="1">
      <alignment horizontal="center"/>
    </xf>
    <xf numFmtId="164" fontId="0" fillId="4" borderId="3" xfId="0" applyNumberFormat="1" applyFont="1" applyFill="1" applyBorder="1" applyAlignment="1">
      <alignment horizontal="right" vertical="center"/>
    </xf>
    <xf numFmtId="0" fontId="15" fillId="4" borderId="1" xfId="0" applyFont="1" applyFill="1" applyBorder="1" applyAlignment="1">
      <alignment horizontal="left" vertical="center" wrapText="1"/>
    </xf>
    <xf numFmtId="164" fontId="0" fillId="4" borderId="3" xfId="0" applyNumberFormat="1" applyFont="1" applyFill="1" applyBorder="1" applyAlignment="1">
      <alignment vertical="center"/>
    </xf>
    <xf numFmtId="0" fontId="11" fillId="5" borderId="52" xfId="0" applyFont="1" applyFill="1" applyBorder="1" applyAlignment="1">
      <alignment horizontal="center" vertical="center" wrapText="1"/>
    </xf>
    <xf numFmtId="0" fontId="11" fillId="5" borderId="30" xfId="0" applyFont="1" applyFill="1" applyBorder="1" applyAlignment="1">
      <alignment horizontal="center" vertical="center" wrapText="1"/>
    </xf>
    <xf numFmtId="0" fontId="11" fillId="5" borderId="31" xfId="0" applyFont="1" applyFill="1" applyBorder="1" applyAlignment="1">
      <alignment horizontal="center" vertical="center" wrapText="1"/>
    </xf>
    <xf numFmtId="0" fontId="11" fillId="4" borderId="47" xfId="0" applyFont="1" applyFill="1" applyBorder="1" applyAlignment="1">
      <alignment horizontal="left" vertical="center"/>
    </xf>
    <xf numFmtId="0" fontId="11" fillId="4" borderId="10" xfId="0" applyFont="1" applyFill="1" applyBorder="1" applyAlignment="1">
      <alignment horizontal="left" vertical="center"/>
    </xf>
    <xf numFmtId="0" fontId="11" fillId="4" borderId="48" xfId="0" applyFont="1" applyFill="1" applyBorder="1" applyAlignment="1">
      <alignment horizontal="left" vertical="center"/>
    </xf>
    <xf numFmtId="0" fontId="11" fillId="4" borderId="47"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48" xfId="0" applyFont="1" applyFill="1" applyBorder="1" applyAlignment="1">
      <alignment horizontal="center" vertical="center" wrapText="1"/>
    </xf>
    <xf numFmtId="0" fontId="11" fillId="5" borderId="22" xfId="0" applyFont="1" applyFill="1" applyBorder="1" applyAlignment="1">
      <alignment horizontal="center" vertical="center" wrapText="1"/>
    </xf>
    <xf numFmtId="0" fontId="11" fillId="5" borderId="24"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0" fillId="4" borderId="13" xfId="0" applyFont="1" applyFill="1" applyBorder="1" applyAlignment="1">
      <alignment horizontal="left" vertical="center"/>
    </xf>
    <xf numFmtId="0" fontId="0" fillId="4" borderId="1" xfId="0" applyFont="1" applyFill="1" applyBorder="1" applyAlignment="1">
      <alignment horizontal="left" vertical="center"/>
    </xf>
    <xf numFmtId="0" fontId="0" fillId="4" borderId="12" xfId="0" applyFont="1" applyFill="1" applyBorder="1" applyAlignment="1">
      <alignment horizontal="left" vertical="center"/>
    </xf>
    <xf numFmtId="0" fontId="14" fillId="0" borderId="40" xfId="1" applyFont="1" applyBorder="1" applyAlignment="1">
      <alignment horizontal="left" wrapText="1"/>
    </xf>
    <xf numFmtId="0" fontId="14" fillId="0" borderId="11" xfId="1" applyFont="1" applyBorder="1" applyAlignment="1">
      <alignment horizontal="left" wrapText="1"/>
    </xf>
    <xf numFmtId="0" fontId="14" fillId="0" borderId="41" xfId="1" applyFont="1" applyBorder="1" applyAlignment="1">
      <alignment horizontal="left" wrapText="1"/>
    </xf>
    <xf numFmtId="0" fontId="0" fillId="4" borderId="38" xfId="0" applyFont="1" applyFill="1" applyBorder="1" applyAlignment="1">
      <alignment horizontal="center" vertical="center"/>
    </xf>
    <xf numFmtId="0" fontId="11" fillId="5" borderId="37" xfId="0" applyFont="1" applyFill="1" applyBorder="1" applyAlignment="1">
      <alignment horizontal="center"/>
    </xf>
    <xf numFmtId="0" fontId="11" fillId="5" borderId="35" xfId="0" applyFont="1" applyFill="1" applyBorder="1" applyAlignment="1">
      <alignment horizontal="center"/>
    </xf>
    <xf numFmtId="0" fontId="11" fillId="5" borderId="36" xfId="0" applyFont="1" applyFill="1" applyBorder="1" applyAlignment="1">
      <alignment horizontal="center"/>
    </xf>
    <xf numFmtId="0" fontId="11" fillId="4" borderId="47" xfId="0" applyFont="1" applyFill="1" applyBorder="1" applyAlignment="1">
      <alignment horizontal="left"/>
    </xf>
    <xf numFmtId="0" fontId="11" fillId="4" borderId="10" xfId="0" applyFont="1" applyFill="1" applyBorder="1" applyAlignment="1">
      <alignment horizontal="left"/>
    </xf>
    <xf numFmtId="0" fontId="11" fillId="4" borderId="48" xfId="0" applyFont="1" applyFill="1" applyBorder="1" applyAlignment="1">
      <alignment horizontal="left"/>
    </xf>
    <xf numFmtId="0" fontId="0" fillId="4" borderId="47" xfId="0" applyFont="1" applyFill="1" applyBorder="1" applyAlignment="1">
      <alignment horizontal="left"/>
    </xf>
    <xf numFmtId="0" fontId="0" fillId="4" borderId="10" xfId="0" applyFont="1" applyFill="1" applyBorder="1" applyAlignment="1">
      <alignment horizontal="left"/>
    </xf>
    <xf numFmtId="0" fontId="0" fillId="4" borderId="48" xfId="0" applyFont="1" applyFill="1" applyBorder="1" applyAlignment="1">
      <alignment horizontal="left"/>
    </xf>
    <xf numFmtId="0" fontId="0" fillId="4" borderId="47" xfId="0" applyFont="1" applyFill="1" applyBorder="1" applyAlignment="1">
      <alignment wrapText="1"/>
    </xf>
    <xf numFmtId="0" fontId="0" fillId="0" borderId="10" xfId="0" applyBorder="1" applyAlignment="1">
      <alignment wrapText="1"/>
    </xf>
    <xf numFmtId="0" fontId="0" fillId="0" borderId="48" xfId="0" applyBorder="1" applyAlignment="1">
      <alignment wrapText="1"/>
    </xf>
    <xf numFmtId="0" fontId="0" fillId="4" borderId="25" xfId="0" applyFont="1" applyFill="1" applyBorder="1" applyAlignment="1">
      <alignment horizontal="center"/>
    </xf>
    <xf numFmtId="0" fontId="0" fillId="4" borderId="26" xfId="0" applyFont="1" applyFill="1" applyBorder="1" applyAlignment="1">
      <alignment horizontal="center"/>
    </xf>
    <xf numFmtId="0" fontId="0" fillId="4" borderId="3" xfId="0" applyFont="1" applyFill="1" applyBorder="1" applyAlignment="1">
      <alignment horizontal="center"/>
    </xf>
    <xf numFmtId="0" fontId="0" fillId="4" borderId="23" xfId="0" applyFont="1" applyFill="1" applyBorder="1" applyAlignment="1">
      <alignment horizontal="center"/>
    </xf>
    <xf numFmtId="0" fontId="0" fillId="4" borderId="27" xfId="0" applyFont="1" applyFill="1" applyBorder="1" applyAlignment="1">
      <alignment horizontal="left"/>
    </xf>
    <xf numFmtId="0" fontId="0" fillId="4" borderId="28" xfId="0" applyFont="1" applyFill="1" applyBorder="1" applyAlignment="1">
      <alignment horizontal="left"/>
    </xf>
    <xf numFmtId="0" fontId="0" fillId="4" borderId="29" xfId="0" applyFont="1" applyFill="1" applyBorder="1" applyAlignment="1">
      <alignment horizontal="left"/>
    </xf>
    <xf numFmtId="0" fontId="14" fillId="4" borderId="18" xfId="1" applyFont="1" applyFill="1" applyBorder="1" applyAlignment="1">
      <alignment horizontal="center" vertical="center"/>
    </xf>
    <xf numFmtId="0" fontId="14" fillId="4" borderId="17" xfId="1" applyFont="1" applyFill="1" applyBorder="1" applyAlignment="1">
      <alignment horizontal="center" vertical="center"/>
    </xf>
    <xf numFmtId="0" fontId="0" fillId="4" borderId="3" xfId="0" applyFont="1" applyFill="1" applyBorder="1" applyAlignment="1">
      <alignment wrapText="1"/>
    </xf>
    <xf numFmtId="0" fontId="0" fillId="0" borderId="3" xfId="0" applyBorder="1" applyAlignment="1">
      <alignment wrapText="1"/>
    </xf>
    <xf numFmtId="0" fontId="15" fillId="0" borderId="1" xfId="0" applyFont="1" applyFill="1" applyBorder="1" applyAlignment="1">
      <alignment horizontal="left" wrapText="1"/>
    </xf>
    <xf numFmtId="0" fontId="15" fillId="0" borderId="1" xfId="0" applyFont="1" applyFill="1" applyBorder="1" applyAlignment="1">
      <alignment wrapText="1"/>
    </xf>
    <xf numFmtId="0" fontId="0" fillId="4" borderId="40" xfId="0" applyFont="1" applyFill="1" applyBorder="1" applyAlignment="1">
      <alignment wrapText="1"/>
    </xf>
    <xf numFmtId="0" fontId="0" fillId="0" borderId="11" xfId="0" applyBorder="1" applyAlignment="1">
      <alignment wrapText="1"/>
    </xf>
    <xf numFmtId="0" fontId="0" fillId="0" borderId="41" xfId="0" applyBorder="1" applyAlignment="1">
      <alignment wrapText="1"/>
    </xf>
  </cellXfs>
  <cellStyles count="17">
    <cellStyle name="Calculation" xfId="16" builtinId="22"/>
    <cellStyle name="Check Cell" xfId="4" builtinId="23"/>
    <cellStyle name="Comma" xfId="14" builtinId="3"/>
    <cellStyle name="Currency 2" xfId="7"/>
    <cellStyle name="Normal" xfId="0" builtinId="0"/>
    <cellStyle name="Normal 2" xfId="1"/>
    <cellStyle name="Normal 3" xfId="3"/>
    <cellStyle name="Normal 4" xfId="5"/>
    <cellStyle name="Normal 4 2" xfId="11"/>
    <cellStyle name="Normal 5" xfId="6"/>
    <cellStyle name="Normal 5 2" xfId="12"/>
    <cellStyle name="Normal 6" xfId="8"/>
    <cellStyle name="Normal 6 2" xfId="13"/>
    <cellStyle name="Normal 7" xfId="10"/>
    <cellStyle name="Normal_GDP Deflator &amp; Construction Cost Index" xfId="2"/>
    <cellStyle name="Percent" xfId="15" builtinId="5"/>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ERD\GAIA\WA%200-20%20--%20Ches%20Bay%20WIP%20Costs\Ag%20BMP%20Costs\Ag%20BMP%20Unit%20Cost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AD ME"/>
      <sheetName val="BMPs Summary"/>
      <sheetName val="Animal Waste Mgmt"/>
      <sheetName val="Barnyard Runoff"/>
      <sheetName val="Tree Planting"/>
      <sheetName val="Stream Restoration"/>
      <sheetName val="Nutr Mgmt"/>
      <sheetName val="Forest Buffers"/>
      <sheetName val="Grass Buffers"/>
      <sheetName val="Wetland Restoration"/>
      <sheetName val="Conservation Tillage"/>
      <sheetName val="Carbon Seques"/>
      <sheetName val="Conservation Plan"/>
      <sheetName val="Land Retirement"/>
      <sheetName val="Water Control Structures"/>
      <sheetName val="Manure Transport"/>
      <sheetName val="Cover Crops"/>
      <sheetName val="Cont No-Till"/>
      <sheetName val="Comm &amp; Small Grain CC"/>
      <sheetName val="Decision Ag"/>
      <sheetName val="Enhanced Nutr Mgmt"/>
      <sheetName val="Horse Pasture Mgmt"/>
      <sheetName val="Alt Watering - Stream Access"/>
      <sheetName val="Prescribed Grazing"/>
      <sheetName val="Intensive Prescribed Grazing"/>
      <sheetName val="Cropland Irrig. Mgmt"/>
      <sheetName val="Liq. Manure Inj."/>
      <sheetName val="Poultry Manure Inj."/>
      <sheetName val="Loafing Lot Mgmt"/>
      <sheetName val="Mortality Comp"/>
      <sheetName val="Dairy Precision Feeding"/>
      <sheetName val="Phytase"/>
      <sheetName val="Ammonia Emission"/>
      <sheetName val="Manure Technology"/>
      <sheetName val="Cost Indices"/>
      <sheetName val="Opportuniy Cost"/>
    </sheetNames>
    <sheetDataSet>
      <sheetData sheetId="0" refreshError="1"/>
      <sheetData sheetId="1" refreshError="1"/>
      <sheetData sheetId="2"/>
      <sheetData sheetId="3">
        <row r="6">
          <cell r="F6">
            <v>494.0758111545295</v>
          </cell>
        </row>
      </sheetData>
      <sheetData sheetId="4" refreshError="1"/>
      <sheetData sheetId="5">
        <row r="11">
          <cell r="B11">
            <v>20</v>
          </cell>
        </row>
      </sheetData>
      <sheetData sheetId="6">
        <row r="19">
          <cell r="B19">
            <v>3</v>
          </cell>
        </row>
      </sheetData>
      <sheetData sheetId="7">
        <row r="13">
          <cell r="F13">
            <v>203.5</v>
          </cell>
        </row>
      </sheetData>
      <sheetData sheetId="8">
        <row r="10">
          <cell r="D10">
            <v>85.36363636363636</v>
          </cell>
        </row>
      </sheetData>
      <sheetData sheetId="9">
        <row r="8">
          <cell r="B8">
            <v>15</v>
          </cell>
        </row>
      </sheetData>
      <sheetData sheetId="10">
        <row r="10">
          <cell r="B10">
            <v>29.43</v>
          </cell>
        </row>
      </sheetData>
      <sheetData sheetId="11">
        <row r="4">
          <cell r="C4">
            <v>20.107699946583967</v>
          </cell>
        </row>
      </sheetData>
      <sheetData sheetId="12">
        <row r="3">
          <cell r="B3">
            <v>15.301518381439388</v>
          </cell>
        </row>
      </sheetData>
      <sheetData sheetId="13">
        <row r="4">
          <cell r="B4">
            <v>10</v>
          </cell>
        </row>
      </sheetData>
      <sheetData sheetId="14">
        <row r="6">
          <cell r="E6">
            <v>15</v>
          </cell>
        </row>
      </sheetData>
      <sheetData sheetId="15" refreshError="1"/>
      <sheetData sheetId="16" refreshError="1"/>
      <sheetData sheetId="17">
        <row r="3">
          <cell r="B3">
            <v>20</v>
          </cell>
        </row>
      </sheetData>
      <sheetData sheetId="18">
        <row r="3">
          <cell r="B3">
            <v>26.666666666666668</v>
          </cell>
        </row>
      </sheetData>
      <sheetData sheetId="19">
        <row r="6">
          <cell r="B6">
            <v>18</v>
          </cell>
        </row>
      </sheetData>
      <sheetData sheetId="20">
        <row r="4">
          <cell r="C4">
            <v>3</v>
          </cell>
        </row>
      </sheetData>
      <sheetData sheetId="21">
        <row r="5">
          <cell r="B5">
            <v>15</v>
          </cell>
        </row>
      </sheetData>
      <sheetData sheetId="22">
        <row r="25">
          <cell r="D25">
            <v>44629.472445652529</v>
          </cell>
        </row>
      </sheetData>
      <sheetData sheetId="23">
        <row r="12">
          <cell r="B12">
            <v>14.666666666666666</v>
          </cell>
        </row>
      </sheetData>
      <sheetData sheetId="24">
        <row r="7">
          <cell r="B7">
            <v>93.333333333333343</v>
          </cell>
        </row>
      </sheetData>
      <sheetData sheetId="25">
        <row r="10">
          <cell r="B10">
            <v>29.545006893834941</v>
          </cell>
        </row>
      </sheetData>
      <sheetData sheetId="26">
        <row r="3">
          <cell r="B3">
            <v>60</v>
          </cell>
        </row>
      </sheetData>
      <sheetData sheetId="27">
        <row r="3">
          <cell r="B3">
            <v>60</v>
          </cell>
        </row>
      </sheetData>
      <sheetData sheetId="28">
        <row r="98">
          <cell r="K98">
            <v>1253.2058853273177</v>
          </cell>
        </row>
      </sheetData>
      <sheetData sheetId="29">
        <row r="23">
          <cell r="B23" t="str">
            <v>Broiler</v>
          </cell>
        </row>
      </sheetData>
      <sheetData sheetId="30"/>
      <sheetData sheetId="31">
        <row r="6">
          <cell r="B6">
            <v>-1.910192307692308</v>
          </cell>
        </row>
      </sheetData>
      <sheetData sheetId="32" refreshError="1"/>
      <sheetData sheetId="33" refreshError="1"/>
      <sheetData sheetId="34" refreshError="1"/>
      <sheetData sheetId="35">
        <row r="4">
          <cell r="E4">
            <v>150</v>
          </cell>
        </row>
        <row r="11">
          <cell r="E11">
            <v>124.1</v>
          </cell>
        </row>
        <row r="19">
          <cell r="E19">
            <v>147.72142857142856</v>
          </cell>
        </row>
        <row r="26">
          <cell r="E26">
            <v>59.03478260869565</v>
          </cell>
        </row>
        <row r="30">
          <cell r="E30">
            <v>85.36363636363636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M6"/>
  <sheetViews>
    <sheetView zoomScaleNormal="100" workbookViewId="0">
      <selection activeCell="A2" sqref="A2"/>
    </sheetView>
  </sheetViews>
  <sheetFormatPr defaultColWidth="9.140625" defaultRowHeight="15"/>
  <cols>
    <col min="1" max="16384" width="9.140625" style="31"/>
  </cols>
  <sheetData>
    <row r="1" spans="1:13">
      <c r="A1" s="192" t="s">
        <v>16</v>
      </c>
      <c r="B1" s="193"/>
      <c r="C1" s="193"/>
      <c r="D1" s="193"/>
      <c r="E1" s="193"/>
      <c r="F1" s="193"/>
      <c r="G1" s="193"/>
      <c r="H1" s="193"/>
      <c r="I1" s="193"/>
      <c r="J1" s="193"/>
      <c r="K1" s="193"/>
      <c r="L1" s="193"/>
      <c r="M1" s="194"/>
    </row>
    <row r="2" spans="1:13">
      <c r="A2" s="195" t="s">
        <v>406</v>
      </c>
      <c r="B2" s="123"/>
      <c r="C2" s="123"/>
      <c r="D2" s="123"/>
      <c r="E2" s="123"/>
      <c r="F2" s="123"/>
      <c r="G2" s="123"/>
      <c r="H2" s="123"/>
      <c r="I2" s="123"/>
      <c r="J2" s="123"/>
      <c r="K2" s="123"/>
      <c r="L2" s="123"/>
      <c r="M2" s="196"/>
    </row>
    <row r="3" spans="1:13">
      <c r="A3" s="195" t="s">
        <v>101</v>
      </c>
      <c r="B3" s="123"/>
      <c r="C3" s="123"/>
      <c r="D3" s="123"/>
      <c r="E3" s="123"/>
      <c r="F3" s="123"/>
      <c r="G3" s="123"/>
      <c r="H3" s="123"/>
      <c r="I3" s="123"/>
      <c r="J3" s="123"/>
      <c r="K3" s="123"/>
      <c r="L3" s="123"/>
      <c r="M3" s="196"/>
    </row>
    <row r="4" spans="1:13">
      <c r="A4" s="195" t="s">
        <v>106</v>
      </c>
      <c r="B4" s="123"/>
      <c r="C4" s="123"/>
      <c r="D4" s="123"/>
      <c r="E4" s="123"/>
      <c r="F4" s="123"/>
      <c r="G4" s="123"/>
      <c r="H4" s="123"/>
      <c r="I4" s="123"/>
      <c r="J4" s="123"/>
      <c r="K4" s="123"/>
      <c r="L4" s="123"/>
      <c r="M4" s="196"/>
    </row>
    <row r="5" spans="1:13">
      <c r="A5" s="197" t="s">
        <v>114</v>
      </c>
      <c r="B5" s="123"/>
      <c r="C5" s="123"/>
      <c r="D5" s="123"/>
      <c r="E5" s="123"/>
      <c r="F5" s="123"/>
      <c r="G5" s="123"/>
      <c r="H5" s="123"/>
      <c r="I5" s="123"/>
      <c r="J5" s="123"/>
      <c r="K5" s="123"/>
      <c r="L5" s="123"/>
      <c r="M5" s="196"/>
    </row>
    <row r="6" spans="1:13">
      <c r="A6" s="198" t="s">
        <v>327</v>
      </c>
      <c r="B6" s="199"/>
      <c r="C6" s="199"/>
      <c r="D6" s="199"/>
      <c r="E6" s="199"/>
      <c r="F6" s="199"/>
      <c r="G6" s="199"/>
      <c r="H6" s="199"/>
      <c r="I6" s="199"/>
      <c r="J6" s="199"/>
      <c r="K6" s="199"/>
      <c r="L6" s="199"/>
      <c r="M6" s="200"/>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25"/>
  <dimension ref="A1:E26"/>
  <sheetViews>
    <sheetView zoomScale="85" zoomScaleNormal="85" workbookViewId="0">
      <selection activeCell="D22" sqref="D22"/>
    </sheetView>
  </sheetViews>
  <sheetFormatPr defaultColWidth="9.140625" defaultRowHeight="15"/>
  <cols>
    <col min="1" max="1" width="42.85546875" style="3" bestFit="1" customWidth="1"/>
    <col min="2" max="2" width="27.7109375" style="3" bestFit="1" customWidth="1"/>
    <col min="3" max="3" width="31" style="3" bestFit="1" customWidth="1"/>
    <col min="4" max="4" width="28.5703125" style="3" bestFit="1" customWidth="1"/>
    <col min="5" max="5" width="21" style="3" bestFit="1" customWidth="1"/>
    <col min="6" max="16384" width="9.140625" style="3"/>
  </cols>
  <sheetData>
    <row r="1" spans="1:5" ht="39" customHeight="1" thickBot="1">
      <c r="A1" s="446" t="s">
        <v>220</v>
      </c>
      <c r="B1" s="446"/>
      <c r="C1" s="446"/>
      <c r="D1" s="446"/>
    </row>
    <row r="2" spans="1:5" hidden="1">
      <c r="A2" s="49" t="s">
        <v>52</v>
      </c>
      <c r="B2" s="49" t="s">
        <v>39</v>
      </c>
    </row>
    <row r="3" spans="1:5" hidden="1">
      <c r="A3" s="3" t="s">
        <v>213</v>
      </c>
      <c r="B3" s="43"/>
    </row>
    <row r="4" spans="1:5" hidden="1">
      <c r="A4" s="3" t="s">
        <v>177</v>
      </c>
    </row>
    <row r="5" spans="1:5" ht="15.75" thickBot="1">
      <c r="A5" s="452" t="s">
        <v>323</v>
      </c>
      <c r="B5" s="453"/>
      <c r="C5" s="453"/>
      <c r="D5" s="454"/>
    </row>
    <row r="6" spans="1:5" ht="15.75" thickBot="1"/>
    <row r="7" spans="1:5">
      <c r="A7" s="450" t="s">
        <v>301</v>
      </c>
      <c r="B7" s="451"/>
    </row>
    <row r="8" spans="1:5">
      <c r="A8" s="85" t="s">
        <v>300</v>
      </c>
      <c r="B8" s="54" t="s">
        <v>329</v>
      </c>
    </row>
    <row r="9" spans="1:5">
      <c r="A9" s="7" t="s">
        <v>302</v>
      </c>
      <c r="B9" s="161">
        <v>14</v>
      </c>
      <c r="E9" s="48"/>
    </row>
    <row r="10" spans="1:5">
      <c r="A10" s="162" t="s">
        <v>331</v>
      </c>
      <c r="B10" s="161">
        <v>12.85</v>
      </c>
    </row>
    <row r="11" spans="1:5">
      <c r="A11" s="7" t="s">
        <v>303</v>
      </c>
      <c r="B11" s="161">
        <v>18</v>
      </c>
    </row>
    <row r="12" spans="1:5">
      <c r="A12" s="7" t="s">
        <v>330</v>
      </c>
      <c r="B12" s="161">
        <v>11.85</v>
      </c>
    </row>
    <row r="13" spans="1:5">
      <c r="A13" s="387" t="s">
        <v>328</v>
      </c>
      <c r="B13" s="389"/>
    </row>
    <row r="14" spans="1:5">
      <c r="A14" s="383"/>
      <c r="B14" s="385"/>
    </row>
    <row r="15" spans="1:5">
      <c r="A15" s="7" t="s">
        <v>299</v>
      </c>
      <c r="B15" s="161">
        <f>AVERAGE(B9:B12)</f>
        <v>14.175000000000001</v>
      </c>
    </row>
    <row r="16" spans="1:5">
      <c r="A16" s="7" t="s">
        <v>306</v>
      </c>
      <c r="B16" s="161">
        <f>B15</f>
        <v>14.175000000000001</v>
      </c>
    </row>
    <row r="17" spans="1:4">
      <c r="A17" s="7" t="s">
        <v>308</v>
      </c>
      <c r="B17" s="163">
        <v>0.27</v>
      </c>
    </row>
    <row r="18" spans="1:4">
      <c r="A18" s="7" t="s">
        <v>307</v>
      </c>
      <c r="B18" s="161">
        <f>B16/B17</f>
        <v>52.5</v>
      </c>
    </row>
    <row r="19" spans="1:4" ht="15.75" thickBot="1">
      <c r="A19" s="14" t="s">
        <v>311</v>
      </c>
      <c r="B19" s="100">
        <v>3</v>
      </c>
    </row>
    <row r="20" spans="1:4" ht="15.75" thickBot="1"/>
    <row r="21" spans="1:4">
      <c r="A21" s="164"/>
      <c r="B21" s="166" t="s">
        <v>304</v>
      </c>
      <c r="C21" s="166" t="s">
        <v>305</v>
      </c>
      <c r="D21" s="167" t="s">
        <v>478</v>
      </c>
    </row>
    <row r="22" spans="1:4">
      <c r="A22" s="7" t="s">
        <v>57</v>
      </c>
      <c r="B22" s="51">
        <f>-PMT(Annual_rate,B$19,B$18)</f>
        <v>20.005212448287654</v>
      </c>
      <c r="C22" s="50">
        <f>B18</f>
        <v>52.5</v>
      </c>
      <c r="D22" s="165">
        <v>0</v>
      </c>
    </row>
    <row r="23" spans="1:4" hidden="1">
      <c r="A23" s="3">
        <v>1</v>
      </c>
      <c r="B23" s="3">
        <v>2</v>
      </c>
      <c r="C23" s="3">
        <v>3</v>
      </c>
      <c r="D23" s="3">
        <v>4</v>
      </c>
    </row>
    <row r="24" spans="1:4" ht="15.75" thickBot="1"/>
    <row r="25" spans="1:4">
      <c r="A25" s="455" t="s">
        <v>309</v>
      </c>
      <c r="B25" s="456"/>
      <c r="C25" s="456"/>
      <c r="D25" s="457"/>
    </row>
    <row r="26" spans="1:4" ht="15.75" customHeight="1" thickBot="1">
      <c r="A26" s="447" t="s">
        <v>310</v>
      </c>
      <c r="B26" s="448"/>
      <c r="C26" s="448"/>
      <c r="D26" s="449"/>
    </row>
  </sheetData>
  <mergeCells count="7">
    <mergeCell ref="A1:D1"/>
    <mergeCell ref="A26:D26"/>
    <mergeCell ref="A14:B14"/>
    <mergeCell ref="A13:B13"/>
    <mergeCell ref="A7:B7"/>
    <mergeCell ref="A5:D5"/>
    <mergeCell ref="A25:D2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dimension ref="A1:G54"/>
  <sheetViews>
    <sheetView topLeftCell="A2" zoomScale="85" zoomScaleNormal="85" workbookViewId="0">
      <selection sqref="A1:XFD1"/>
    </sheetView>
  </sheetViews>
  <sheetFormatPr defaultColWidth="9.140625" defaultRowHeight="15"/>
  <cols>
    <col min="1" max="1" width="55.85546875" style="31" customWidth="1"/>
    <col min="2" max="2" width="17.85546875" style="31" bestFit="1" customWidth="1"/>
    <col min="3" max="3" width="16.7109375" style="31" bestFit="1" customWidth="1"/>
    <col min="4" max="4" width="14.7109375" style="31" bestFit="1" customWidth="1"/>
    <col min="5" max="5" width="16.85546875" style="31" bestFit="1" customWidth="1"/>
    <col min="6" max="6" width="14.140625" style="31" bestFit="1" customWidth="1"/>
    <col min="7" max="16384" width="9.140625" style="31"/>
  </cols>
  <sheetData>
    <row r="1" spans="1:7" hidden="1">
      <c r="A1" s="31">
        <v>1</v>
      </c>
      <c r="B1" s="31">
        <v>2</v>
      </c>
    </row>
    <row r="2" spans="1:7" ht="45.75" customHeight="1" thickBot="1">
      <c r="A2" s="460" t="s">
        <v>222</v>
      </c>
      <c r="B2" s="460"/>
      <c r="C2" s="460"/>
      <c r="D2" s="460"/>
      <c r="E2" s="460"/>
      <c r="F2" s="460"/>
      <c r="G2" s="460"/>
    </row>
    <row r="3" spans="1:7">
      <c r="A3" s="458" t="s">
        <v>0</v>
      </c>
      <c r="B3" s="459"/>
      <c r="C3" s="459"/>
      <c r="D3" s="459"/>
      <c r="E3" s="459"/>
      <c r="F3" s="459"/>
      <c r="G3" s="459"/>
    </row>
    <row r="4" spans="1:7">
      <c r="A4" s="157"/>
      <c r="B4" s="267"/>
    </row>
    <row r="5" spans="1:7">
      <c r="A5" s="264" t="s">
        <v>52</v>
      </c>
      <c r="B5" s="265" t="s">
        <v>428</v>
      </c>
      <c r="C5" s="265" t="s">
        <v>429</v>
      </c>
      <c r="D5" s="265" t="s">
        <v>430</v>
      </c>
      <c r="E5" s="265" t="s">
        <v>431</v>
      </c>
      <c r="F5" s="265" t="s">
        <v>432</v>
      </c>
      <c r="G5" s="266" t="s">
        <v>19</v>
      </c>
    </row>
    <row r="6" spans="1:7">
      <c r="A6" s="268" t="s">
        <v>433</v>
      </c>
      <c r="B6" s="269"/>
      <c r="C6" s="269">
        <f>1.1*200</f>
        <v>220.00000000000003</v>
      </c>
      <c r="D6" s="269"/>
      <c r="E6" s="269"/>
      <c r="F6" s="269"/>
      <c r="G6" s="270"/>
    </row>
    <row r="7" spans="1:7">
      <c r="A7" s="268" t="s">
        <v>434</v>
      </c>
      <c r="B7" s="269"/>
      <c r="C7" s="269">
        <f>1.2*200</f>
        <v>240</v>
      </c>
      <c r="D7" s="269"/>
      <c r="E7" s="269"/>
      <c r="F7" s="269"/>
      <c r="G7" s="270"/>
    </row>
    <row r="8" spans="1:7">
      <c r="A8" s="268" t="s">
        <v>435</v>
      </c>
      <c r="B8" s="269">
        <f>6.12*200</f>
        <v>1224</v>
      </c>
      <c r="C8" s="269"/>
      <c r="D8" s="269"/>
      <c r="E8" s="269"/>
      <c r="F8" s="269"/>
      <c r="G8" s="270"/>
    </row>
    <row r="9" spans="1:7" ht="30">
      <c r="A9" s="271" t="s">
        <v>436</v>
      </c>
      <c r="B9" s="269">
        <f>18.4533333333333*200</f>
        <v>3690.6666666666601</v>
      </c>
      <c r="C9" s="269"/>
      <c r="D9" s="269"/>
      <c r="E9" s="269"/>
      <c r="F9" s="269"/>
      <c r="G9" s="270"/>
    </row>
    <row r="10" spans="1:7">
      <c r="A10" s="268" t="s">
        <v>437</v>
      </c>
      <c r="B10" s="269">
        <f>8.10666666666667*200</f>
        <v>1621.3333333333339</v>
      </c>
      <c r="C10" s="269"/>
      <c r="D10" s="269"/>
      <c r="E10" s="269"/>
      <c r="F10" s="269"/>
      <c r="G10" s="270"/>
    </row>
    <row r="11" spans="1:7">
      <c r="A11" s="268" t="s">
        <v>438</v>
      </c>
      <c r="B11" s="269">
        <f>2.93333333333333*200</f>
        <v>586.66666666666606</v>
      </c>
      <c r="C11" s="269"/>
      <c r="D11" s="269"/>
      <c r="E11" s="269"/>
      <c r="F11" s="269"/>
      <c r="G11" s="270"/>
    </row>
    <row r="12" spans="1:7">
      <c r="A12" s="268" t="s">
        <v>439</v>
      </c>
      <c r="B12" s="269">
        <f>1.14666666666667*200</f>
        <v>229.333333333334</v>
      </c>
      <c r="C12" s="269"/>
      <c r="D12" s="269"/>
      <c r="E12" s="269"/>
      <c r="F12" s="269"/>
      <c r="G12" s="270"/>
    </row>
    <row r="13" spans="1:7">
      <c r="A13" s="271" t="s">
        <v>440</v>
      </c>
      <c r="B13" s="269">
        <f>3.97333333333333*200</f>
        <v>794.66666666666606</v>
      </c>
      <c r="C13" s="269"/>
      <c r="D13" s="269"/>
      <c r="E13" s="269"/>
      <c r="F13" s="269"/>
      <c r="G13" s="270"/>
    </row>
    <row r="14" spans="1:7">
      <c r="A14" s="268" t="s">
        <v>441</v>
      </c>
      <c r="B14" s="269"/>
      <c r="C14" s="269">
        <v>358</v>
      </c>
      <c r="D14" s="269"/>
      <c r="E14" s="269"/>
      <c r="F14" s="269"/>
      <c r="G14" s="270"/>
    </row>
    <row r="15" spans="1:7">
      <c r="A15" s="268" t="s">
        <v>442</v>
      </c>
      <c r="B15" s="269"/>
      <c r="C15" s="269">
        <v>98</v>
      </c>
      <c r="D15" s="269"/>
      <c r="E15" s="269"/>
      <c r="F15" s="269"/>
      <c r="G15" s="270"/>
    </row>
    <row r="16" spans="1:7">
      <c r="A16" s="268" t="s">
        <v>443</v>
      </c>
      <c r="B16" s="269"/>
      <c r="C16" s="269"/>
      <c r="D16" s="269">
        <v>1700</v>
      </c>
      <c r="E16" s="269"/>
      <c r="F16" s="269"/>
      <c r="G16" s="270"/>
    </row>
    <row r="17" spans="1:7">
      <c r="A17" s="268" t="s">
        <v>444</v>
      </c>
      <c r="B17" s="269"/>
      <c r="C17" s="269"/>
      <c r="D17" s="269">
        <v>700</v>
      </c>
      <c r="E17" s="269"/>
      <c r="F17" s="269"/>
      <c r="G17" s="270"/>
    </row>
    <row r="18" spans="1:7">
      <c r="A18" s="268" t="s">
        <v>445</v>
      </c>
      <c r="B18" s="269"/>
      <c r="C18" s="269"/>
      <c r="D18" s="269">
        <v>72.666666666666671</v>
      </c>
      <c r="E18" s="269"/>
      <c r="F18" s="269"/>
      <c r="G18" s="270"/>
    </row>
    <row r="19" spans="1:7">
      <c r="A19" s="268" t="s">
        <v>446</v>
      </c>
      <c r="B19" s="269"/>
      <c r="C19" s="269"/>
      <c r="D19" s="269">
        <v>4125</v>
      </c>
      <c r="E19" s="269"/>
      <c r="F19" s="269"/>
      <c r="G19" s="270"/>
    </row>
    <row r="20" spans="1:7">
      <c r="A20" s="268" t="s">
        <v>447</v>
      </c>
      <c r="B20" s="269"/>
      <c r="C20" s="269"/>
      <c r="D20" s="269"/>
      <c r="E20" s="269">
        <v>1333.3333333333333</v>
      </c>
      <c r="F20" s="269"/>
      <c r="G20" s="270"/>
    </row>
    <row r="21" spans="1:7">
      <c r="A21" s="268" t="s">
        <v>448</v>
      </c>
      <c r="B21" s="269"/>
      <c r="C21" s="269"/>
      <c r="D21" s="269"/>
      <c r="E21" s="269">
        <v>2866.6666666666665</v>
      </c>
      <c r="F21" s="269"/>
      <c r="G21" s="270"/>
    </row>
    <row r="22" spans="1:7">
      <c r="A22" s="272" t="s">
        <v>449</v>
      </c>
      <c r="B22" s="269"/>
      <c r="C22" s="269"/>
      <c r="D22" s="269"/>
      <c r="E22" s="269"/>
      <c r="F22" s="269">
        <v>965</v>
      </c>
      <c r="G22" s="270"/>
    </row>
    <row r="23" spans="1:7">
      <c r="A23" s="272" t="s">
        <v>450</v>
      </c>
      <c r="B23" s="269"/>
      <c r="C23" s="269"/>
      <c r="D23" s="269"/>
      <c r="E23" s="269"/>
      <c r="F23" s="269">
        <v>935</v>
      </c>
      <c r="G23" s="270"/>
    </row>
    <row r="24" spans="1:7">
      <c r="A24" s="272" t="s">
        <v>451</v>
      </c>
      <c r="B24" s="269"/>
      <c r="C24" s="269"/>
      <c r="D24" s="269"/>
      <c r="E24" s="269"/>
      <c r="F24" s="269">
        <v>2000</v>
      </c>
      <c r="G24" s="270"/>
    </row>
    <row r="25" spans="1:7">
      <c r="A25" s="272" t="s">
        <v>452</v>
      </c>
      <c r="B25" s="269"/>
      <c r="C25" s="269"/>
      <c r="D25" s="269"/>
      <c r="E25" s="269"/>
      <c r="F25" s="269">
        <v>1970</v>
      </c>
      <c r="G25" s="270"/>
    </row>
    <row r="26" spans="1:7" ht="30">
      <c r="A26" s="272" t="s">
        <v>453</v>
      </c>
      <c r="B26" s="269"/>
      <c r="C26" s="269"/>
      <c r="D26" s="269"/>
      <c r="E26" s="269"/>
      <c r="F26" s="269">
        <v>795</v>
      </c>
      <c r="G26" s="270"/>
    </row>
    <row r="27" spans="1:7" ht="30">
      <c r="A27" s="272" t="s">
        <v>454</v>
      </c>
      <c r="B27" s="269"/>
      <c r="C27" s="269"/>
      <c r="D27" s="269"/>
      <c r="E27" s="269"/>
      <c r="F27" s="269">
        <v>765</v>
      </c>
      <c r="G27" s="270"/>
    </row>
    <row r="28" spans="1:7" ht="30">
      <c r="A28" s="272" t="s">
        <v>455</v>
      </c>
      <c r="B28" s="269"/>
      <c r="C28" s="269"/>
      <c r="D28" s="269"/>
      <c r="E28" s="269"/>
      <c r="F28" s="269">
        <v>1760</v>
      </c>
      <c r="G28" s="270"/>
    </row>
    <row r="29" spans="1:7" ht="30">
      <c r="A29" s="272" t="s">
        <v>456</v>
      </c>
      <c r="B29" s="269"/>
      <c r="C29" s="269"/>
      <c r="D29" s="269"/>
      <c r="E29" s="269"/>
      <c r="F29" s="269">
        <v>1730</v>
      </c>
      <c r="G29" s="270"/>
    </row>
    <row r="30" spans="1:7">
      <c r="A30" s="272" t="s">
        <v>457</v>
      </c>
      <c r="B30" s="269"/>
      <c r="C30" s="269"/>
      <c r="D30" s="269"/>
      <c r="E30" s="269"/>
      <c r="F30" s="273">
        <v>70</v>
      </c>
      <c r="G30" s="270"/>
    </row>
    <row r="31" spans="1:7">
      <c r="A31" s="272" t="s">
        <v>458</v>
      </c>
      <c r="B31" s="269"/>
      <c r="C31" s="269"/>
      <c r="D31" s="269"/>
      <c r="E31" s="269"/>
      <c r="F31" s="273">
        <v>80</v>
      </c>
      <c r="G31" s="270"/>
    </row>
    <row r="32" spans="1:7">
      <c r="A32" s="272" t="s">
        <v>459</v>
      </c>
      <c r="B32" s="269"/>
      <c r="C32" s="269"/>
      <c r="D32" s="269"/>
      <c r="E32" s="269"/>
      <c r="F32" s="273">
        <v>170</v>
      </c>
      <c r="G32" s="270"/>
    </row>
    <row r="33" spans="1:7">
      <c r="A33" s="272" t="s">
        <v>460</v>
      </c>
      <c r="B33" s="269"/>
      <c r="C33" s="269"/>
      <c r="D33" s="269"/>
      <c r="E33" s="269"/>
      <c r="F33" s="273">
        <v>45</v>
      </c>
      <c r="G33" s="270"/>
    </row>
    <row r="34" spans="1:7">
      <c r="A34" s="272" t="s">
        <v>461</v>
      </c>
      <c r="B34" s="269"/>
      <c r="C34" s="269"/>
      <c r="D34" s="269"/>
      <c r="E34" s="269"/>
      <c r="F34" s="273">
        <v>1400</v>
      </c>
      <c r="G34" s="270"/>
    </row>
    <row r="35" spans="1:7">
      <c r="A35" s="272" t="s">
        <v>462</v>
      </c>
      <c r="B35" s="269"/>
      <c r="C35" s="269"/>
      <c r="D35" s="269"/>
      <c r="E35" s="269"/>
      <c r="F35" s="273">
        <v>950</v>
      </c>
      <c r="G35" s="270"/>
    </row>
    <row r="36" spans="1:7">
      <c r="A36" s="272" t="s">
        <v>463</v>
      </c>
      <c r="B36" s="269"/>
      <c r="C36" s="269"/>
      <c r="D36" s="269"/>
      <c r="E36" s="269"/>
      <c r="F36" s="273">
        <v>1530</v>
      </c>
      <c r="G36" s="270"/>
    </row>
    <row r="37" spans="1:7">
      <c r="A37" s="272" t="s">
        <v>464</v>
      </c>
      <c r="B37" s="269"/>
      <c r="C37" s="269"/>
      <c r="D37" s="269"/>
      <c r="E37" s="269"/>
      <c r="F37" s="273">
        <v>1500</v>
      </c>
      <c r="G37" s="270"/>
    </row>
    <row r="38" spans="1:7">
      <c r="A38" s="272"/>
      <c r="B38" s="269"/>
      <c r="C38" s="269"/>
      <c r="D38" s="269"/>
      <c r="E38" s="269"/>
      <c r="F38" s="269"/>
      <c r="G38" s="270"/>
    </row>
    <row r="39" spans="1:7">
      <c r="A39" s="270" t="s">
        <v>465</v>
      </c>
      <c r="B39" s="273">
        <f>AVERAGE(B6:B37)</f>
        <v>1357.7777777777767</v>
      </c>
      <c r="C39" s="273">
        <f>AVERAGE(C6:C37)</f>
        <v>229</v>
      </c>
      <c r="D39" s="273">
        <f>AVERAGE(D6:D37)</f>
        <v>1649.4166666666665</v>
      </c>
      <c r="E39" s="273">
        <f>AVERAGE(E6:E37)</f>
        <v>2100</v>
      </c>
      <c r="F39" s="273">
        <f>AVERAGE(F6:F37)</f>
        <v>1041.5625</v>
      </c>
      <c r="G39" s="273">
        <f>AVERAGE(B39:F39)</f>
        <v>1275.5513888888886</v>
      </c>
    </row>
    <row r="40" spans="1:7">
      <c r="A40" s="270" t="s">
        <v>466</v>
      </c>
      <c r="B40" s="274">
        <v>75</v>
      </c>
      <c r="C40" s="274">
        <v>75</v>
      </c>
      <c r="D40" s="274">
        <v>75</v>
      </c>
      <c r="E40" s="274">
        <v>75</v>
      </c>
      <c r="F40" s="274">
        <v>75</v>
      </c>
      <c r="G40" s="274">
        <f>AVERAGE(B40:F40)</f>
        <v>75</v>
      </c>
    </row>
    <row r="41" spans="1:7">
      <c r="A41" s="270" t="s">
        <v>467</v>
      </c>
      <c r="B41" s="273">
        <f>-PMT(Annual_rate,B40,B39)</f>
        <v>95.642674717699464</v>
      </c>
      <c r="C41" s="273">
        <f>-PMT(Annual_rate,C40,C39)</f>
        <v>16.130896284220849</v>
      </c>
      <c r="D41" s="273">
        <f>-PMT(Annual_rate,D40,D39)</f>
        <v>116.18589161338545</v>
      </c>
      <c r="E41" s="273">
        <f>-PMT(Annual_rate,E40,E39)</f>
        <v>147.92524976796412</v>
      </c>
      <c r="F41" s="273">
        <f>-PMT(Annual_rate,F40,F39)</f>
        <v>73.368282362592907</v>
      </c>
      <c r="G41" s="273">
        <f>AVERAGE(B41:F41)</f>
        <v>89.850598949172564</v>
      </c>
    </row>
    <row r="42" spans="1:7">
      <c r="A42" s="270"/>
      <c r="B42" s="270"/>
      <c r="C42" s="270"/>
      <c r="D42" s="270"/>
      <c r="E42" s="270"/>
      <c r="F42" s="270"/>
      <c r="G42" s="270"/>
    </row>
    <row r="43" spans="1:7">
      <c r="A43" s="276" t="s">
        <v>377</v>
      </c>
      <c r="B43" s="270"/>
      <c r="C43" s="270"/>
      <c r="D43" s="270"/>
      <c r="E43" s="270"/>
      <c r="F43" s="270"/>
      <c r="G43" s="270"/>
    </row>
    <row r="44" spans="1:7">
      <c r="A44" s="276" t="s">
        <v>468</v>
      </c>
      <c r="B44" s="270"/>
      <c r="C44" s="270"/>
      <c r="D44" s="270"/>
      <c r="E44" s="270"/>
      <c r="F44" s="270"/>
      <c r="G44" s="270"/>
    </row>
    <row r="45" spans="1:7">
      <c r="A45" s="276" t="s">
        <v>469</v>
      </c>
      <c r="B45" s="270"/>
      <c r="C45" s="270"/>
      <c r="D45" s="270"/>
      <c r="E45" s="270"/>
      <c r="F45" s="270"/>
      <c r="G45" s="270"/>
    </row>
    <row r="46" spans="1:7">
      <c r="A46" s="268" t="s">
        <v>470</v>
      </c>
      <c r="B46" s="270"/>
      <c r="C46" s="270"/>
      <c r="D46" s="270"/>
      <c r="E46" s="270"/>
      <c r="F46" s="270"/>
      <c r="G46" s="270"/>
    </row>
    <row r="47" spans="1:7">
      <c r="A47" s="268" t="s">
        <v>471</v>
      </c>
      <c r="B47" s="270"/>
      <c r="C47" s="270"/>
      <c r="D47" s="270"/>
      <c r="E47" s="270"/>
      <c r="F47" s="270"/>
      <c r="G47" s="270"/>
    </row>
    <row r="48" spans="1:7">
      <c r="A48" s="268"/>
      <c r="B48" s="270"/>
      <c r="C48" s="270"/>
      <c r="D48" s="270"/>
      <c r="E48" s="270"/>
      <c r="F48" s="270"/>
      <c r="G48" s="270"/>
    </row>
    <row r="49" spans="1:7">
      <c r="A49" s="277" t="s">
        <v>365</v>
      </c>
      <c r="B49" s="275"/>
      <c r="C49" s="275"/>
      <c r="D49" s="275"/>
      <c r="E49" s="275"/>
      <c r="F49" s="275"/>
      <c r="G49" s="270"/>
    </row>
    <row r="50" spans="1:7">
      <c r="A50" s="268" t="s">
        <v>381</v>
      </c>
      <c r="B50" s="270"/>
      <c r="C50" s="270"/>
      <c r="D50" s="270"/>
      <c r="E50" s="270"/>
      <c r="F50" s="270"/>
      <c r="G50" s="270"/>
    </row>
    <row r="51" spans="1:7">
      <c r="A51" s="268" t="s">
        <v>370</v>
      </c>
      <c r="B51" s="270"/>
      <c r="C51" s="270"/>
      <c r="D51" s="270"/>
      <c r="E51" s="270"/>
      <c r="F51" s="270"/>
      <c r="G51" s="270"/>
    </row>
    <row r="52" spans="1:7">
      <c r="A52" s="268" t="s">
        <v>369</v>
      </c>
      <c r="B52" s="270"/>
      <c r="C52" s="270"/>
      <c r="D52" s="270"/>
      <c r="E52" s="270"/>
      <c r="F52" s="270"/>
      <c r="G52" s="270"/>
    </row>
    <row r="53" spans="1:7">
      <c r="A53" s="268" t="s">
        <v>368</v>
      </c>
      <c r="B53" s="270"/>
      <c r="C53" s="270"/>
      <c r="D53" s="270"/>
      <c r="E53" s="270"/>
      <c r="F53" s="270"/>
      <c r="G53" s="270"/>
    </row>
    <row r="54" spans="1:7">
      <c r="A54" s="268" t="s">
        <v>367</v>
      </c>
      <c r="B54" s="270"/>
      <c r="C54" s="270"/>
      <c r="D54" s="270"/>
      <c r="E54" s="270"/>
      <c r="F54" s="270"/>
      <c r="G54" s="270"/>
    </row>
  </sheetData>
  <mergeCells count="2">
    <mergeCell ref="A3:G3"/>
    <mergeCell ref="A2:G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sheetPr codeName="Sheet35"/>
  <dimension ref="A1:E7"/>
  <sheetViews>
    <sheetView zoomScale="85" zoomScaleNormal="85" workbookViewId="0">
      <selection activeCell="K14" sqref="K14"/>
    </sheetView>
  </sheetViews>
  <sheetFormatPr defaultColWidth="9.140625" defaultRowHeight="15"/>
  <cols>
    <col min="1" max="1" width="23.85546875" style="31" customWidth="1"/>
    <col min="2" max="2" width="16.140625" style="31" bestFit="1" customWidth="1"/>
    <col min="3" max="16384" width="9.140625" style="31"/>
  </cols>
  <sheetData>
    <row r="1" spans="1:5" ht="15.75" thickBot="1">
      <c r="A1" s="173" t="s">
        <v>223</v>
      </c>
      <c r="B1" s="174"/>
      <c r="C1" s="174"/>
      <c r="D1" s="174"/>
      <c r="E1" s="175"/>
    </row>
    <row r="2" spans="1:5">
      <c r="A2" s="461" t="s">
        <v>326</v>
      </c>
      <c r="B2" s="462"/>
      <c r="C2" s="462"/>
      <c r="D2" s="462"/>
      <c r="E2" s="463"/>
    </row>
    <row r="3" spans="1:5">
      <c r="A3" s="464"/>
      <c r="B3" s="465"/>
      <c r="C3" s="466"/>
      <c r="D3" s="467"/>
      <c r="E3" s="468"/>
    </row>
    <row r="4" spans="1:5">
      <c r="A4" s="172" t="s">
        <v>52</v>
      </c>
      <c r="B4" s="150" t="s">
        <v>116</v>
      </c>
      <c r="C4" s="416"/>
      <c r="D4" s="469"/>
      <c r="E4" s="417"/>
    </row>
    <row r="5" spans="1:5">
      <c r="A5" s="105" t="s">
        <v>115</v>
      </c>
      <c r="B5" s="148">
        <v>0</v>
      </c>
      <c r="C5" s="416"/>
      <c r="D5" s="469"/>
      <c r="E5" s="417"/>
    </row>
    <row r="6" spans="1:5">
      <c r="A6" s="410"/>
      <c r="B6" s="409"/>
      <c r="C6" s="418"/>
      <c r="D6" s="470"/>
      <c r="E6" s="419"/>
    </row>
    <row r="7" spans="1:5" ht="48.75" customHeight="1" thickBot="1">
      <c r="A7" s="397" t="s">
        <v>117</v>
      </c>
      <c r="B7" s="398"/>
      <c r="C7" s="398"/>
      <c r="D7" s="398"/>
      <c r="E7" s="399"/>
    </row>
  </sheetData>
  <mergeCells count="5">
    <mergeCell ref="A2:E2"/>
    <mergeCell ref="A6:B6"/>
    <mergeCell ref="A3:B3"/>
    <mergeCell ref="C3:E6"/>
    <mergeCell ref="A7:E7"/>
  </mergeCells>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sheetPr codeName="Sheet29"/>
  <dimension ref="A1:E19"/>
  <sheetViews>
    <sheetView topLeftCell="A2" zoomScale="85" zoomScaleNormal="85" workbookViewId="0">
      <selection sqref="A1:XFD1"/>
    </sheetView>
  </sheetViews>
  <sheetFormatPr defaultColWidth="9.140625" defaultRowHeight="15"/>
  <cols>
    <col min="1" max="1" width="47" style="31" bestFit="1" customWidth="1"/>
    <col min="2" max="2" width="30" style="31" bestFit="1" customWidth="1"/>
    <col min="3" max="3" width="26.42578125" style="31" bestFit="1" customWidth="1"/>
    <col min="4" max="4" width="36.28515625" style="31" customWidth="1"/>
    <col min="5" max="5" width="35.7109375" style="31" bestFit="1" customWidth="1"/>
    <col min="6" max="16384" width="9.140625" style="31"/>
  </cols>
  <sheetData>
    <row r="1" spans="1:4" hidden="1">
      <c r="A1" s="31">
        <v>1</v>
      </c>
      <c r="B1" s="31">
        <v>2</v>
      </c>
      <c r="C1" s="31">
        <v>3</v>
      </c>
      <c r="D1" s="31">
        <v>4</v>
      </c>
    </row>
    <row r="2" spans="1:4" ht="34.5" customHeight="1" thickBot="1">
      <c r="A2" s="402" t="s">
        <v>224</v>
      </c>
      <c r="B2" s="403"/>
      <c r="C2" s="403"/>
      <c r="D2" s="403"/>
    </row>
    <row r="3" spans="1:4" ht="15.75" thickBot="1">
      <c r="A3" s="394" t="s">
        <v>322</v>
      </c>
      <c r="B3" s="395"/>
      <c r="C3" s="395"/>
      <c r="D3" s="396"/>
    </row>
    <row r="4" spans="1:4" ht="15.75" thickBot="1">
      <c r="A4" s="154"/>
      <c r="B4" s="123"/>
      <c r="C4" s="123"/>
      <c r="D4" s="33"/>
    </row>
    <row r="5" spans="1:4">
      <c r="A5" s="155" t="s">
        <v>52</v>
      </c>
      <c r="B5" s="122" t="s">
        <v>39</v>
      </c>
      <c r="C5" s="123"/>
      <c r="D5" s="33"/>
    </row>
    <row r="6" spans="1:4">
      <c r="A6" s="105" t="s">
        <v>239</v>
      </c>
      <c r="B6" s="107">
        <f>B7*Pre_Construction_Cost_6</f>
        <v>21500</v>
      </c>
      <c r="C6" s="123"/>
      <c r="D6" s="33"/>
    </row>
    <row r="7" spans="1:4">
      <c r="A7" s="105" t="s">
        <v>240</v>
      </c>
      <c r="B7" s="107">
        <v>43000</v>
      </c>
      <c r="C7" s="123"/>
      <c r="D7" s="33"/>
    </row>
    <row r="8" spans="1:4">
      <c r="A8" s="105" t="s">
        <v>151</v>
      </c>
      <c r="B8" s="107">
        <f>B7*0</f>
        <v>0</v>
      </c>
      <c r="C8" s="123"/>
      <c r="D8" s="33"/>
    </row>
    <row r="9" spans="1:4">
      <c r="A9" s="156" t="s">
        <v>152</v>
      </c>
      <c r="B9" s="107">
        <f>B7*OM_Intermittent_Med</f>
        <v>860</v>
      </c>
      <c r="C9" s="123"/>
      <c r="D9" s="33"/>
    </row>
    <row r="10" spans="1:4">
      <c r="A10" s="105" t="s">
        <v>243</v>
      </c>
      <c r="B10" s="107">
        <f>SUM(B8:B9)</f>
        <v>860</v>
      </c>
      <c r="C10" s="123"/>
      <c r="D10" s="33"/>
    </row>
    <row r="11" spans="1:4">
      <c r="A11" s="105" t="s">
        <v>185</v>
      </c>
      <c r="B11" s="95"/>
      <c r="C11" s="123"/>
      <c r="D11" s="33"/>
    </row>
    <row r="12" spans="1:4">
      <c r="A12" s="410"/>
      <c r="B12" s="474"/>
      <c r="C12" s="123"/>
      <c r="D12" s="33"/>
    </row>
    <row r="13" spans="1:4">
      <c r="A13" s="105" t="s">
        <v>405</v>
      </c>
      <c r="B13" s="95">
        <v>20</v>
      </c>
      <c r="C13" s="123"/>
      <c r="D13" s="33"/>
    </row>
    <row r="14" spans="1:4" ht="15.75" thickBot="1">
      <c r="A14" s="114" t="s">
        <v>245</v>
      </c>
      <c r="B14" s="116">
        <v>100</v>
      </c>
      <c r="C14" s="123"/>
      <c r="D14" s="33"/>
    </row>
    <row r="15" spans="1:4" ht="15.75" thickBot="1">
      <c r="A15" s="32"/>
      <c r="B15" s="33"/>
      <c r="C15" s="123"/>
      <c r="D15" s="33"/>
    </row>
    <row r="16" spans="1:4">
      <c r="A16" s="158"/>
      <c r="B16" s="118" t="s">
        <v>246</v>
      </c>
      <c r="C16" s="118" t="s">
        <v>291</v>
      </c>
      <c r="D16" s="119" t="s">
        <v>479</v>
      </c>
    </row>
    <row r="17" spans="1:5">
      <c r="A17" s="105" t="s">
        <v>57</v>
      </c>
      <c r="B17" s="106">
        <f>(-PMT(Annual_rate,B$13,(B$6+B$7))+B$10)/$B$14</f>
        <v>69.483437104399925</v>
      </c>
      <c r="C17" s="106">
        <f>(B$6+B$7)/$B$14</f>
        <v>645</v>
      </c>
      <c r="D17" s="107">
        <f>B$10/$B$14</f>
        <v>8.6</v>
      </c>
      <c r="E17" s="108"/>
    </row>
    <row r="18" spans="1:5" s="160" customFormat="1" ht="30.75" customHeight="1" thickBot="1">
      <c r="A18" s="471" t="s">
        <v>247</v>
      </c>
      <c r="B18" s="472"/>
      <c r="C18" s="472"/>
      <c r="D18" s="473"/>
    </row>
    <row r="19" spans="1:5">
      <c r="A19" s="159"/>
    </row>
  </sheetData>
  <mergeCells count="4">
    <mergeCell ref="A3:D3"/>
    <mergeCell ref="A18:D18"/>
    <mergeCell ref="A12:B12"/>
    <mergeCell ref="A2:D2"/>
  </mergeCells>
  <pageMargins left="0.7" right="0.7" top="0.75" bottom="0.75" header="0.3" footer="0.3"/>
  <pageSetup orientation="portrait" horizontalDpi="300" verticalDpi="300" r:id="rId1"/>
</worksheet>
</file>

<file path=xl/worksheets/sheet14.xml><?xml version="1.0" encoding="utf-8"?>
<worksheet xmlns="http://schemas.openxmlformats.org/spreadsheetml/2006/main" xmlns:r="http://schemas.openxmlformats.org/officeDocument/2006/relationships">
  <sheetPr codeName="Sheet8"/>
  <dimension ref="A1:J42"/>
  <sheetViews>
    <sheetView zoomScale="85" zoomScaleNormal="85" workbookViewId="0">
      <selection activeCell="I13" sqref="I13"/>
    </sheetView>
  </sheetViews>
  <sheetFormatPr defaultColWidth="9.140625" defaultRowHeight="15"/>
  <cols>
    <col min="1" max="1" width="46" style="3" customWidth="1"/>
    <col min="2" max="2" width="23.85546875" style="3" bestFit="1" customWidth="1"/>
    <col min="3" max="3" width="15.42578125" style="3" bestFit="1" customWidth="1"/>
    <col min="4" max="4" width="17" style="3" bestFit="1" customWidth="1"/>
    <col min="5" max="5" width="16.85546875" style="3" bestFit="1" customWidth="1"/>
    <col min="6" max="6" width="18.7109375" style="3" bestFit="1" customWidth="1"/>
    <col min="7" max="7" width="17.5703125" style="3" bestFit="1" customWidth="1"/>
    <col min="8" max="8" width="13.42578125" style="3" bestFit="1" customWidth="1"/>
    <col min="9" max="9" width="15.28515625" style="3" bestFit="1" customWidth="1"/>
    <col min="10" max="10" width="0" style="3" hidden="1" customWidth="1"/>
    <col min="11" max="16384" width="9.140625" style="3"/>
  </cols>
  <sheetData>
    <row r="1" spans="1:10" ht="32.25" customHeight="1" thickBot="1">
      <c r="A1" s="476" t="s">
        <v>225</v>
      </c>
      <c r="B1" s="476"/>
      <c r="C1" s="476"/>
      <c r="D1" s="476"/>
      <c r="E1" s="476"/>
      <c r="F1" s="476"/>
      <c r="G1" s="476"/>
      <c r="H1" s="476"/>
      <c r="I1" s="476"/>
    </row>
    <row r="2" spans="1:10" ht="15.75" thickBot="1">
      <c r="A2" s="478" t="s">
        <v>129</v>
      </c>
      <c r="B2" s="479"/>
      <c r="C2" s="479"/>
      <c r="D2" s="479"/>
      <c r="E2" s="479"/>
      <c r="F2" s="479"/>
      <c r="G2" s="479"/>
      <c r="H2" s="479"/>
      <c r="I2" s="480"/>
    </row>
    <row r="3" spans="1:10">
      <c r="A3" s="209"/>
      <c r="B3" s="208"/>
      <c r="C3" s="208"/>
      <c r="D3" s="208"/>
      <c r="E3" s="208"/>
      <c r="F3" s="208"/>
      <c r="G3" s="208"/>
      <c r="H3" s="208"/>
      <c r="I3" s="210"/>
    </row>
    <row r="4" spans="1:10" s="15" customFormat="1">
      <c r="A4" s="211" t="s">
        <v>52</v>
      </c>
      <c r="B4" s="212" t="s">
        <v>341</v>
      </c>
      <c r="C4" s="213" t="s">
        <v>342</v>
      </c>
      <c r="D4" s="213" t="s">
        <v>383</v>
      </c>
      <c r="E4" s="213" t="s">
        <v>384</v>
      </c>
      <c r="F4" s="213" t="s">
        <v>387</v>
      </c>
      <c r="G4" s="213" t="s">
        <v>389</v>
      </c>
      <c r="H4" s="213" t="s">
        <v>343</v>
      </c>
      <c r="I4" s="214" t="s">
        <v>344</v>
      </c>
    </row>
    <row r="5" spans="1:10" s="15" customFormat="1" hidden="1">
      <c r="A5" s="211"/>
      <c r="B5" s="212"/>
      <c r="C5" s="213"/>
      <c r="D5" s="227" t="s">
        <v>59</v>
      </c>
      <c r="E5" s="227" t="s">
        <v>36</v>
      </c>
      <c r="F5" s="227"/>
      <c r="G5" s="227" t="s">
        <v>60</v>
      </c>
      <c r="H5" s="227" t="s">
        <v>58</v>
      </c>
      <c r="I5" s="228" t="s">
        <v>57</v>
      </c>
      <c r="J5" s="3">
        <v>1</v>
      </c>
    </row>
    <row r="6" spans="1:10">
      <c r="A6" s="7" t="s">
        <v>345</v>
      </c>
      <c r="B6" s="475">
        <f>1000*Assumptions!F15</f>
        <v>1341.6666666666665</v>
      </c>
      <c r="C6" s="477">
        <f>812*Assumptions!F15</f>
        <v>1089.4333333333332</v>
      </c>
      <c r="D6" s="50"/>
      <c r="E6" s="222"/>
      <c r="F6" s="222"/>
      <c r="G6" s="222"/>
      <c r="H6" s="222"/>
      <c r="I6" s="161"/>
      <c r="J6" s="3">
        <v>2</v>
      </c>
    </row>
    <row r="7" spans="1:10">
      <c r="A7" s="7" t="s">
        <v>346</v>
      </c>
      <c r="B7" s="475"/>
      <c r="C7" s="477"/>
      <c r="D7" s="50"/>
      <c r="E7" s="222"/>
      <c r="F7" s="222"/>
      <c r="G7" s="222"/>
      <c r="H7" s="222"/>
      <c r="I7" s="161"/>
      <c r="J7" s="3">
        <v>3</v>
      </c>
    </row>
    <row r="8" spans="1:10">
      <c r="A8" s="7" t="s">
        <v>347</v>
      </c>
      <c r="B8" s="475"/>
      <c r="C8" s="477"/>
      <c r="D8" s="50"/>
      <c r="E8" s="222"/>
      <c r="F8" s="222"/>
      <c r="G8" s="222"/>
      <c r="H8" s="222"/>
      <c r="I8" s="161"/>
      <c r="J8" s="3">
        <v>4</v>
      </c>
    </row>
    <row r="9" spans="1:10">
      <c r="A9" s="7" t="s">
        <v>348</v>
      </c>
      <c r="B9" s="475"/>
      <c r="C9" s="477"/>
      <c r="D9" s="50"/>
      <c r="E9" s="222"/>
      <c r="F9" s="222"/>
      <c r="G9" s="222"/>
      <c r="H9" s="222"/>
      <c r="I9" s="161"/>
      <c r="J9" s="3">
        <v>5</v>
      </c>
    </row>
    <row r="10" spans="1:10">
      <c r="A10" s="7" t="s">
        <v>349</v>
      </c>
      <c r="B10" s="234">
        <f>30*9*Assumptions!F15</f>
        <v>362.25</v>
      </c>
      <c r="C10" s="234"/>
      <c r="D10" s="50"/>
      <c r="E10" s="222"/>
      <c r="F10" s="222"/>
      <c r="G10" s="222"/>
      <c r="H10" s="222"/>
      <c r="I10" s="161"/>
      <c r="J10" s="3">
        <v>6</v>
      </c>
    </row>
    <row r="11" spans="1:10">
      <c r="A11" s="7" t="s">
        <v>350</v>
      </c>
      <c r="B11" s="50">
        <f>100*Assumptions!F15</f>
        <v>134.16666666666666</v>
      </c>
      <c r="C11" s="234"/>
      <c r="D11" s="50"/>
      <c r="E11" s="222"/>
      <c r="F11" s="222"/>
      <c r="G11" s="222"/>
      <c r="H11" s="222"/>
      <c r="I11" s="161"/>
      <c r="J11" s="3">
        <v>7</v>
      </c>
    </row>
    <row r="12" spans="1:10">
      <c r="A12" s="4" t="s">
        <v>351</v>
      </c>
      <c r="B12" s="50">
        <f>SUM(B6:B11)</f>
        <v>1838.0833333333333</v>
      </c>
      <c r="C12" s="50">
        <f>C6+AVERAGE(B10:B10)+AVERAGE(B11:B11)</f>
        <v>1585.85</v>
      </c>
      <c r="D12" s="50">
        <f>1765/0.75</f>
        <v>2353.3333333333335</v>
      </c>
      <c r="E12" s="50">
        <f>2240/0.75</f>
        <v>2986.6666666666665</v>
      </c>
      <c r="F12" s="50">
        <f>1343/0.75</f>
        <v>1790.6666666666667</v>
      </c>
      <c r="G12" s="50">
        <v>683.37553170906665</v>
      </c>
      <c r="H12" s="50">
        <v>425</v>
      </c>
      <c r="I12" s="161">
        <f>AVERAGE(B12:H12)</f>
        <v>1666.1393616727237</v>
      </c>
      <c r="J12" s="3">
        <v>8</v>
      </c>
    </row>
    <row r="13" spans="1:10">
      <c r="A13" s="4" t="s">
        <v>53</v>
      </c>
      <c r="B13" s="50">
        <v>0</v>
      </c>
      <c r="C13" s="50">
        <v>0</v>
      </c>
      <c r="D13" s="50">
        <v>0</v>
      </c>
      <c r="E13" s="50">
        <v>0</v>
      </c>
      <c r="F13" s="50">
        <v>0</v>
      </c>
      <c r="G13" s="50">
        <v>0</v>
      </c>
      <c r="H13" s="50">
        <v>5</v>
      </c>
      <c r="I13" s="161">
        <f>AVERAGE(B13:H13)</f>
        <v>0.7142857142857143</v>
      </c>
      <c r="J13" s="3">
        <v>9</v>
      </c>
    </row>
    <row r="14" spans="1:10">
      <c r="A14" s="4" t="s">
        <v>480</v>
      </c>
      <c r="B14" s="5">
        <v>75</v>
      </c>
      <c r="C14" s="5">
        <v>75</v>
      </c>
      <c r="D14" s="5">
        <v>75</v>
      </c>
      <c r="E14" s="5">
        <v>75</v>
      </c>
      <c r="F14" s="5">
        <v>75</v>
      </c>
      <c r="G14" s="5">
        <v>75</v>
      </c>
      <c r="H14" s="5">
        <v>75</v>
      </c>
      <c r="I14" s="5">
        <v>75</v>
      </c>
    </row>
    <row r="15" spans="1:10">
      <c r="A15" s="4" t="s">
        <v>352</v>
      </c>
      <c r="B15" s="50">
        <f t="shared" ref="B15:H15" si="0">-PMT(Annual_rate,B14,B12)+B13</f>
        <v>129.47568389412635</v>
      </c>
      <c r="C15" s="263">
        <f t="shared" si="0"/>
        <v>111.70821778310756</v>
      </c>
      <c r="D15" s="263">
        <f t="shared" si="0"/>
        <v>165.7702005336233</v>
      </c>
      <c r="E15" s="263">
        <f t="shared" si="0"/>
        <v>210.38257744777118</v>
      </c>
      <c r="F15" s="263">
        <f t="shared" si="0"/>
        <v>126.13562567515923</v>
      </c>
      <c r="G15" s="263">
        <f t="shared" si="0"/>
        <v>48.137379149228082</v>
      </c>
      <c r="H15" s="263">
        <f t="shared" si="0"/>
        <v>34.93725292923083</v>
      </c>
      <c r="I15" s="161">
        <f>AVERAGE(B15:H15)</f>
        <v>118.0781339160352</v>
      </c>
      <c r="J15" s="3">
        <v>10</v>
      </c>
    </row>
    <row r="16" spans="1:10">
      <c r="A16" s="390"/>
      <c r="B16" s="391"/>
      <c r="C16" s="391"/>
      <c r="D16" s="391"/>
      <c r="E16" s="391"/>
      <c r="F16" s="391"/>
      <c r="G16" s="391"/>
      <c r="H16" s="391"/>
      <c r="I16" s="393"/>
    </row>
    <row r="17" spans="1:9">
      <c r="A17" s="377" t="s">
        <v>353</v>
      </c>
      <c r="B17" s="378"/>
      <c r="C17" s="378"/>
      <c r="D17" s="378"/>
      <c r="E17" s="378"/>
      <c r="F17" s="378"/>
      <c r="G17" s="378"/>
      <c r="H17" s="378"/>
      <c r="I17" s="379"/>
    </row>
    <row r="18" spans="1:9">
      <c r="A18" s="377" t="s">
        <v>354</v>
      </c>
      <c r="B18" s="378"/>
      <c r="C18" s="378"/>
      <c r="D18" s="378"/>
      <c r="E18" s="378"/>
      <c r="F18" s="378"/>
      <c r="G18" s="378"/>
      <c r="H18" s="378"/>
      <c r="I18" s="379"/>
    </row>
    <row r="19" spans="1:9">
      <c r="A19" s="377" t="s">
        <v>355</v>
      </c>
      <c r="B19" s="378"/>
      <c r="C19" s="378"/>
      <c r="D19" s="378"/>
      <c r="E19" s="378"/>
      <c r="F19" s="378"/>
      <c r="G19" s="378"/>
      <c r="H19" s="378"/>
      <c r="I19" s="379"/>
    </row>
    <row r="20" spans="1:9">
      <c r="A20" s="377" t="s">
        <v>356</v>
      </c>
      <c r="B20" s="378"/>
      <c r="C20" s="378"/>
      <c r="D20" s="378"/>
      <c r="E20" s="378"/>
      <c r="F20" s="378"/>
      <c r="G20" s="378"/>
      <c r="H20" s="378"/>
      <c r="I20" s="379"/>
    </row>
    <row r="21" spans="1:9">
      <c r="A21" s="377" t="s">
        <v>357</v>
      </c>
      <c r="B21" s="378"/>
      <c r="C21" s="378"/>
      <c r="D21" s="378"/>
      <c r="E21" s="378"/>
      <c r="F21" s="378"/>
      <c r="G21" s="378"/>
      <c r="H21" s="378"/>
      <c r="I21" s="379"/>
    </row>
    <row r="22" spans="1:9">
      <c r="A22" s="377" t="s">
        <v>358</v>
      </c>
      <c r="B22" s="378"/>
      <c r="C22" s="378"/>
      <c r="D22" s="378"/>
      <c r="E22" s="378"/>
      <c r="F22" s="378"/>
      <c r="G22" s="378"/>
      <c r="H22" s="378"/>
      <c r="I22" s="379"/>
    </row>
    <row r="23" spans="1:9">
      <c r="A23" s="377" t="s">
        <v>359</v>
      </c>
      <c r="B23" s="378"/>
      <c r="C23" s="378"/>
      <c r="D23" s="378"/>
      <c r="E23" s="378"/>
      <c r="F23" s="378"/>
      <c r="G23" s="378"/>
      <c r="H23" s="378"/>
      <c r="I23" s="379"/>
    </row>
    <row r="24" spans="1:9">
      <c r="A24" s="377" t="s">
        <v>382</v>
      </c>
      <c r="B24" s="378"/>
      <c r="C24" s="378"/>
      <c r="D24" s="378"/>
      <c r="E24" s="378"/>
      <c r="F24" s="378"/>
      <c r="G24" s="378"/>
      <c r="H24" s="378"/>
      <c r="I24" s="379"/>
    </row>
    <row r="25" spans="1:9">
      <c r="A25" s="377" t="s">
        <v>385</v>
      </c>
      <c r="B25" s="378"/>
      <c r="C25" s="378"/>
      <c r="D25" s="378"/>
      <c r="E25" s="378"/>
      <c r="F25" s="378"/>
      <c r="G25" s="378"/>
      <c r="H25" s="378"/>
      <c r="I25" s="379"/>
    </row>
    <row r="26" spans="1:9">
      <c r="A26" s="377" t="s">
        <v>386</v>
      </c>
      <c r="B26" s="378"/>
      <c r="C26" s="378"/>
      <c r="D26" s="378"/>
      <c r="E26" s="378"/>
      <c r="F26" s="378"/>
      <c r="G26" s="378"/>
      <c r="H26" s="378"/>
      <c r="I26" s="379"/>
    </row>
    <row r="27" spans="1:9">
      <c r="A27" s="377" t="s">
        <v>388</v>
      </c>
      <c r="B27" s="378"/>
      <c r="C27" s="378"/>
      <c r="D27" s="378"/>
      <c r="E27" s="378"/>
      <c r="F27" s="378"/>
      <c r="G27" s="378"/>
      <c r="H27" s="378"/>
      <c r="I27" s="379"/>
    </row>
    <row r="28" spans="1:9">
      <c r="A28" s="377"/>
      <c r="B28" s="378"/>
      <c r="C28" s="378"/>
      <c r="D28" s="378"/>
      <c r="E28" s="378"/>
      <c r="F28" s="378"/>
      <c r="G28" s="378"/>
      <c r="H28" s="378"/>
      <c r="I28" s="379"/>
    </row>
    <row r="29" spans="1:9">
      <c r="A29" s="377" t="s">
        <v>360</v>
      </c>
      <c r="B29" s="378"/>
      <c r="C29" s="378"/>
      <c r="D29" s="378"/>
      <c r="E29" s="378"/>
      <c r="F29" s="378"/>
      <c r="G29" s="378"/>
      <c r="H29" s="378"/>
      <c r="I29" s="379"/>
    </row>
    <row r="30" spans="1:9">
      <c r="A30" s="377" t="s">
        <v>361</v>
      </c>
      <c r="B30" s="378"/>
      <c r="C30" s="378"/>
      <c r="D30" s="378"/>
      <c r="E30" s="378"/>
      <c r="F30" s="378"/>
      <c r="G30" s="378"/>
      <c r="H30" s="378"/>
      <c r="I30" s="379"/>
    </row>
    <row r="31" spans="1:9">
      <c r="A31" s="377" t="s">
        <v>362</v>
      </c>
      <c r="B31" s="378"/>
      <c r="C31" s="378"/>
      <c r="D31" s="378"/>
      <c r="E31" s="378"/>
      <c r="F31" s="378"/>
      <c r="G31" s="378"/>
      <c r="H31" s="378"/>
      <c r="I31" s="379"/>
    </row>
    <row r="32" spans="1:9">
      <c r="A32" s="377" t="s">
        <v>363</v>
      </c>
      <c r="B32" s="378"/>
      <c r="C32" s="378"/>
      <c r="D32" s="378"/>
      <c r="E32" s="378"/>
      <c r="F32" s="378"/>
      <c r="G32" s="378"/>
      <c r="H32" s="378"/>
      <c r="I32" s="379"/>
    </row>
    <row r="33" spans="1:9">
      <c r="A33" s="377" t="s">
        <v>364</v>
      </c>
      <c r="B33" s="378"/>
      <c r="C33" s="378"/>
      <c r="D33" s="378"/>
      <c r="E33" s="378"/>
      <c r="F33" s="378"/>
      <c r="G33" s="378"/>
      <c r="H33" s="378"/>
      <c r="I33" s="379"/>
    </row>
    <row r="34" spans="1:9">
      <c r="A34" s="377"/>
      <c r="B34" s="378"/>
      <c r="C34" s="378"/>
      <c r="D34" s="378"/>
      <c r="E34" s="378"/>
      <c r="F34" s="378"/>
      <c r="G34" s="378"/>
      <c r="H34" s="378"/>
      <c r="I34" s="379"/>
    </row>
    <row r="35" spans="1:9">
      <c r="A35" s="481" t="s">
        <v>365</v>
      </c>
      <c r="B35" s="482"/>
      <c r="C35" s="482"/>
      <c r="D35" s="482"/>
      <c r="E35" s="482"/>
      <c r="F35" s="482"/>
      <c r="G35" s="482"/>
      <c r="H35" s="482"/>
      <c r="I35" s="483"/>
    </row>
    <row r="36" spans="1:9">
      <c r="A36" s="377" t="s">
        <v>366</v>
      </c>
      <c r="B36" s="378"/>
      <c r="C36" s="378"/>
      <c r="D36" s="378"/>
      <c r="E36" s="378"/>
      <c r="F36" s="378"/>
      <c r="G36" s="378"/>
      <c r="H36" s="378"/>
      <c r="I36" s="379"/>
    </row>
    <row r="37" spans="1:9">
      <c r="A37" s="377" t="s">
        <v>367</v>
      </c>
      <c r="B37" s="378"/>
      <c r="C37" s="378"/>
      <c r="D37" s="378"/>
      <c r="E37" s="378"/>
      <c r="F37" s="378"/>
      <c r="G37" s="378"/>
      <c r="H37" s="378"/>
      <c r="I37" s="379"/>
    </row>
    <row r="38" spans="1:9">
      <c r="A38" s="377" t="s">
        <v>368</v>
      </c>
      <c r="B38" s="378"/>
      <c r="C38" s="378"/>
      <c r="D38" s="378"/>
      <c r="E38" s="378"/>
      <c r="F38" s="378"/>
      <c r="G38" s="378"/>
      <c r="H38" s="378"/>
      <c r="I38" s="379"/>
    </row>
    <row r="39" spans="1:9">
      <c r="A39" s="377" t="s">
        <v>369</v>
      </c>
      <c r="B39" s="378"/>
      <c r="C39" s="378"/>
      <c r="D39" s="378"/>
      <c r="E39" s="378"/>
      <c r="F39" s="378"/>
      <c r="G39" s="378"/>
      <c r="H39" s="378"/>
      <c r="I39" s="379"/>
    </row>
    <row r="40" spans="1:9">
      <c r="A40" s="377" t="s">
        <v>370</v>
      </c>
      <c r="B40" s="378"/>
      <c r="C40" s="378"/>
      <c r="D40" s="378"/>
      <c r="E40" s="378"/>
      <c r="F40" s="378"/>
      <c r="G40" s="378"/>
      <c r="H40" s="378"/>
      <c r="I40" s="379"/>
    </row>
    <row r="41" spans="1:9" ht="15.75" thickBot="1">
      <c r="A41" s="380" t="s">
        <v>371</v>
      </c>
      <c r="B41" s="381"/>
      <c r="C41" s="381"/>
      <c r="D41" s="381"/>
      <c r="E41" s="381"/>
      <c r="F41" s="381"/>
      <c r="G41" s="381"/>
      <c r="H41" s="381"/>
      <c r="I41" s="382"/>
    </row>
    <row r="42" spans="1:9">
      <c r="B42" s="17"/>
      <c r="C42" s="17"/>
      <c r="D42" s="17"/>
      <c r="E42" s="17"/>
      <c r="F42" s="17"/>
      <c r="G42" s="43"/>
      <c r="H42" s="11"/>
      <c r="I42" s="11"/>
    </row>
  </sheetData>
  <mergeCells count="30">
    <mergeCell ref="A34:I34"/>
    <mergeCell ref="A33:I33"/>
    <mergeCell ref="A41:I41"/>
    <mergeCell ref="A40:I40"/>
    <mergeCell ref="A39:I39"/>
    <mergeCell ref="A38:I38"/>
    <mergeCell ref="A37:I37"/>
    <mergeCell ref="A36:I36"/>
    <mergeCell ref="A35:I35"/>
    <mergeCell ref="A27:I27"/>
    <mergeCell ref="A26:I26"/>
    <mergeCell ref="A25:I25"/>
    <mergeCell ref="A24:I24"/>
    <mergeCell ref="A32:I32"/>
    <mergeCell ref="A31:I31"/>
    <mergeCell ref="A30:I30"/>
    <mergeCell ref="A29:I29"/>
    <mergeCell ref="A28:I28"/>
    <mergeCell ref="A20:I20"/>
    <mergeCell ref="A19:I19"/>
    <mergeCell ref="A18:I18"/>
    <mergeCell ref="A16:I16"/>
    <mergeCell ref="A23:I23"/>
    <mergeCell ref="A22:I22"/>
    <mergeCell ref="A21:I21"/>
    <mergeCell ref="B6:B9"/>
    <mergeCell ref="A1:I1"/>
    <mergeCell ref="C6:C9"/>
    <mergeCell ref="A2:I2"/>
    <mergeCell ref="A17:I17"/>
  </mergeCells>
  <pageMargins left="0.7" right="0.7" top="0.75" bottom="0.75" header="0.3" footer="0.3"/>
  <pageSetup paperSize="9" orientation="portrait" verticalDpi="300" r:id="rId1"/>
</worksheet>
</file>

<file path=xl/worksheets/sheet15.xml><?xml version="1.0" encoding="utf-8"?>
<worksheet xmlns="http://schemas.openxmlformats.org/spreadsheetml/2006/main" xmlns:r="http://schemas.openxmlformats.org/officeDocument/2006/relationships">
  <sheetPr codeName="Sheet37"/>
  <dimension ref="A1:O32"/>
  <sheetViews>
    <sheetView zoomScale="85" zoomScaleNormal="85" workbookViewId="0">
      <selection activeCell="H10" sqref="H10"/>
    </sheetView>
  </sheetViews>
  <sheetFormatPr defaultColWidth="9.140625" defaultRowHeight="15"/>
  <cols>
    <col min="1" max="1" width="47.140625" style="12" bestFit="1" customWidth="1"/>
    <col min="2" max="2" width="18.42578125" style="12" bestFit="1" customWidth="1"/>
    <col min="3" max="3" width="16.85546875" style="12" bestFit="1" customWidth="1"/>
    <col min="4" max="4" width="17.85546875" style="12" bestFit="1" customWidth="1"/>
    <col min="5" max="5" width="17" style="12" bestFit="1" customWidth="1"/>
    <col min="6" max="6" width="18.7109375" style="12" bestFit="1" customWidth="1"/>
    <col min="7" max="7" width="13.42578125" style="12" bestFit="1" customWidth="1"/>
    <col min="8" max="8" width="13.5703125" style="12" bestFit="1" customWidth="1"/>
    <col min="9" max="9" width="0" style="12" hidden="1" customWidth="1"/>
    <col min="10" max="16384" width="9.140625" style="12"/>
  </cols>
  <sheetData>
    <row r="1" spans="1:12" ht="49.5" customHeight="1" thickBot="1">
      <c r="A1" s="476" t="s">
        <v>119</v>
      </c>
      <c r="B1" s="476"/>
      <c r="C1" s="476"/>
      <c r="D1" s="476"/>
      <c r="E1" s="476"/>
      <c r="F1" s="476"/>
      <c r="G1" s="476"/>
      <c r="H1" s="476"/>
    </row>
    <row r="2" spans="1:12">
      <c r="A2" s="487" t="s">
        <v>139</v>
      </c>
      <c r="B2" s="488"/>
      <c r="C2" s="488"/>
      <c r="D2" s="488"/>
      <c r="E2" s="488"/>
      <c r="F2" s="488"/>
      <c r="G2" s="488"/>
      <c r="H2" s="489"/>
    </row>
    <row r="3" spans="1:12">
      <c r="A3" s="484"/>
      <c r="B3" s="485"/>
      <c r="C3" s="485"/>
      <c r="D3" s="485"/>
      <c r="E3" s="485"/>
      <c r="F3" s="485"/>
      <c r="G3" s="485"/>
      <c r="H3" s="486"/>
    </row>
    <row r="4" spans="1:12">
      <c r="A4" s="219" t="s">
        <v>120</v>
      </c>
      <c r="B4" s="220" t="s">
        <v>392</v>
      </c>
      <c r="C4" s="220" t="s">
        <v>393</v>
      </c>
      <c r="D4" s="220" t="s">
        <v>394</v>
      </c>
      <c r="E4" s="220" t="s">
        <v>395</v>
      </c>
      <c r="F4" s="220" t="s">
        <v>396</v>
      </c>
      <c r="G4" s="220" t="s">
        <v>343</v>
      </c>
      <c r="H4" s="221" t="s">
        <v>372</v>
      </c>
      <c r="I4" s="215"/>
      <c r="J4" s="216"/>
      <c r="K4" s="216"/>
      <c r="L4" s="16"/>
    </row>
    <row r="5" spans="1:12" hidden="1">
      <c r="A5" s="219"/>
      <c r="B5" s="223" t="s">
        <v>59</v>
      </c>
      <c r="C5" s="223" t="s">
        <v>36</v>
      </c>
      <c r="D5" s="223" t="s">
        <v>160</v>
      </c>
      <c r="E5" s="223" t="s">
        <v>60</v>
      </c>
      <c r="F5" s="223"/>
      <c r="G5" s="223" t="s">
        <v>58</v>
      </c>
      <c r="H5" s="224" t="s">
        <v>57</v>
      </c>
      <c r="I5" s="226">
        <v>1</v>
      </c>
      <c r="J5" s="216"/>
      <c r="K5" s="216"/>
      <c r="L5" s="16"/>
    </row>
    <row r="6" spans="1:12">
      <c r="A6" s="7" t="s">
        <v>373</v>
      </c>
      <c r="B6" s="50"/>
      <c r="C6" s="50"/>
      <c r="D6" s="50"/>
      <c r="E6" s="50"/>
      <c r="F6" s="50"/>
      <c r="G6" s="47"/>
      <c r="H6" s="89"/>
      <c r="I6" s="225">
        <v>2</v>
      </c>
      <c r="J6" s="17"/>
      <c r="L6" s="17"/>
    </row>
    <row r="7" spans="1:12">
      <c r="A7" s="7" t="s">
        <v>374</v>
      </c>
      <c r="B7" s="50"/>
      <c r="C7" s="50"/>
      <c r="D7" s="50"/>
      <c r="E7" s="50"/>
      <c r="F7" s="50"/>
      <c r="G7" s="47"/>
      <c r="H7" s="89"/>
      <c r="I7" s="226">
        <v>3</v>
      </c>
    </row>
    <row r="8" spans="1:12">
      <c r="A8" s="7" t="s">
        <v>375</v>
      </c>
      <c r="B8" s="50"/>
      <c r="C8" s="50"/>
      <c r="D8" s="50"/>
      <c r="E8" s="50"/>
      <c r="F8" s="50"/>
      <c r="G8" s="47"/>
      <c r="H8" s="89"/>
      <c r="I8" s="225">
        <v>4</v>
      </c>
      <c r="L8" s="17"/>
    </row>
    <row r="9" spans="1:12">
      <c r="A9" s="4" t="s">
        <v>376</v>
      </c>
      <c r="B9" s="50">
        <v>280</v>
      </c>
      <c r="C9" s="50">
        <v>524.44444444444446</v>
      </c>
      <c r="D9" s="50">
        <v>289.10666666666668</v>
      </c>
      <c r="E9" s="50">
        <v>346.66666666666703</v>
      </c>
      <c r="F9" s="50">
        <v>430.50666666666666</v>
      </c>
      <c r="G9" s="50">
        <v>300</v>
      </c>
      <c r="H9" s="161">
        <f>AVERAGE(B9:G9)</f>
        <v>361.7874074074075</v>
      </c>
      <c r="I9" s="226">
        <v>5</v>
      </c>
    </row>
    <row r="10" spans="1:12">
      <c r="A10" s="4" t="s">
        <v>391</v>
      </c>
      <c r="B10" s="50">
        <v>0</v>
      </c>
      <c r="C10" s="50">
        <v>0</v>
      </c>
      <c r="D10" s="50">
        <v>0</v>
      </c>
      <c r="E10" s="50">
        <v>0</v>
      </c>
      <c r="F10" s="50">
        <v>0</v>
      </c>
      <c r="G10" s="50">
        <v>0</v>
      </c>
      <c r="H10" s="161">
        <f>AVERAGE(B10:G10)</f>
        <v>0</v>
      </c>
      <c r="I10" s="225">
        <v>6</v>
      </c>
    </row>
    <row r="11" spans="1:12">
      <c r="A11" s="4" t="s">
        <v>466</v>
      </c>
      <c r="B11" s="5">
        <v>10</v>
      </c>
      <c r="C11" s="5">
        <v>10</v>
      </c>
      <c r="D11" s="5">
        <v>10</v>
      </c>
      <c r="E11" s="5">
        <v>10</v>
      </c>
      <c r="F11" s="5">
        <v>10</v>
      </c>
      <c r="G11" s="5">
        <v>10</v>
      </c>
      <c r="H11" s="300">
        <v>10</v>
      </c>
      <c r="I11" s="225"/>
    </row>
    <row r="12" spans="1:12" s="16" customFormat="1">
      <c r="A12" s="4" t="s">
        <v>402</v>
      </c>
      <c r="B12" s="50">
        <f t="shared" ref="B12:G12" si="0">-PMT(Annual_rate,B11,B9)+B10</f>
        <v>39.865700763662112</v>
      </c>
      <c r="C12" s="263">
        <f t="shared" si="0"/>
        <v>74.669090319240169</v>
      </c>
      <c r="D12" s="263">
        <f t="shared" si="0"/>
        <v>41.162285221832654</v>
      </c>
      <c r="E12" s="263">
        <f t="shared" si="0"/>
        <v>49.357534278819813</v>
      </c>
      <c r="F12" s="263">
        <f t="shared" si="0"/>
        <v>61.294464107482014</v>
      </c>
      <c r="G12" s="263">
        <f t="shared" si="0"/>
        <v>42.71325081820941</v>
      </c>
      <c r="H12" s="161">
        <f t="shared" ref="H12" si="1">-PMT(Annual_rate,10,H9)+H10</f>
        <v>51.510387584874366</v>
      </c>
      <c r="I12" s="226">
        <v>7</v>
      </c>
    </row>
    <row r="13" spans="1:12">
      <c r="A13" s="377"/>
      <c r="B13" s="378"/>
      <c r="C13" s="378"/>
      <c r="D13" s="378"/>
      <c r="E13" s="378"/>
      <c r="F13" s="378"/>
      <c r="G13" s="378"/>
      <c r="H13" s="379"/>
      <c r="I13" s="217"/>
    </row>
    <row r="14" spans="1:12">
      <c r="A14" s="377" t="s">
        <v>377</v>
      </c>
      <c r="B14" s="378"/>
      <c r="C14" s="378"/>
      <c r="D14" s="378"/>
      <c r="E14" s="378"/>
      <c r="F14" s="378"/>
      <c r="G14" s="378"/>
      <c r="H14" s="379"/>
    </row>
    <row r="15" spans="1:12">
      <c r="A15" s="377" t="s">
        <v>378</v>
      </c>
      <c r="B15" s="378"/>
      <c r="C15" s="378"/>
      <c r="D15" s="378"/>
      <c r="E15" s="378"/>
      <c r="F15" s="378"/>
      <c r="G15" s="378"/>
      <c r="H15" s="379"/>
    </row>
    <row r="16" spans="1:12">
      <c r="A16" s="377" t="s">
        <v>379</v>
      </c>
      <c r="B16" s="378"/>
      <c r="C16" s="378"/>
      <c r="D16" s="378"/>
      <c r="E16" s="378"/>
      <c r="F16" s="378"/>
      <c r="G16" s="378"/>
      <c r="H16" s="379"/>
    </row>
    <row r="17" spans="1:15">
      <c r="A17" s="377" t="s">
        <v>390</v>
      </c>
      <c r="B17" s="378"/>
      <c r="C17" s="378"/>
      <c r="D17" s="378"/>
      <c r="E17" s="378"/>
      <c r="F17" s="378"/>
      <c r="G17" s="378"/>
      <c r="H17" s="379"/>
    </row>
    <row r="18" spans="1:15">
      <c r="A18" s="377" t="s">
        <v>397</v>
      </c>
      <c r="B18" s="378"/>
      <c r="C18" s="378"/>
      <c r="D18" s="378"/>
      <c r="E18" s="378"/>
      <c r="F18" s="378"/>
      <c r="G18" s="378"/>
      <c r="H18" s="379"/>
    </row>
    <row r="19" spans="1:15">
      <c r="A19" s="377" t="s">
        <v>398</v>
      </c>
      <c r="B19" s="378"/>
      <c r="C19" s="378"/>
      <c r="D19" s="378"/>
      <c r="E19" s="378"/>
      <c r="F19" s="378"/>
      <c r="G19" s="378"/>
      <c r="H19" s="379"/>
    </row>
    <row r="20" spans="1:15">
      <c r="A20" s="377" t="s">
        <v>399</v>
      </c>
      <c r="B20" s="378"/>
      <c r="C20" s="378"/>
      <c r="D20" s="378"/>
      <c r="E20" s="378"/>
      <c r="F20" s="378"/>
      <c r="G20" s="378"/>
      <c r="H20" s="379"/>
    </row>
    <row r="21" spans="1:15">
      <c r="A21" s="377" t="s">
        <v>400</v>
      </c>
      <c r="B21" s="378"/>
      <c r="C21" s="378"/>
      <c r="D21" s="378"/>
      <c r="E21" s="378"/>
      <c r="F21" s="378"/>
      <c r="G21" s="378"/>
      <c r="H21" s="379"/>
    </row>
    <row r="22" spans="1:15">
      <c r="A22" s="377" t="s">
        <v>401</v>
      </c>
      <c r="B22" s="378"/>
      <c r="C22" s="378"/>
      <c r="D22" s="378"/>
      <c r="E22" s="378"/>
      <c r="F22" s="378"/>
      <c r="G22" s="378"/>
      <c r="H22" s="379"/>
    </row>
    <row r="23" spans="1:15">
      <c r="A23" s="377" t="s">
        <v>472</v>
      </c>
      <c r="B23" s="378"/>
      <c r="C23" s="378"/>
      <c r="D23" s="378"/>
      <c r="E23" s="378"/>
      <c r="F23" s="378"/>
      <c r="G23" s="378"/>
      <c r="H23" s="379"/>
    </row>
    <row r="24" spans="1:15">
      <c r="A24" s="377"/>
      <c r="B24" s="378"/>
      <c r="C24" s="378"/>
      <c r="D24" s="378"/>
      <c r="E24" s="378"/>
      <c r="F24" s="378"/>
      <c r="G24" s="378"/>
      <c r="H24" s="379"/>
    </row>
    <row r="25" spans="1:15">
      <c r="A25" s="481" t="s">
        <v>365</v>
      </c>
      <c r="B25" s="482"/>
      <c r="C25" s="482"/>
      <c r="D25" s="482"/>
      <c r="E25" s="482"/>
      <c r="F25" s="482"/>
      <c r="G25" s="482"/>
      <c r="H25" s="483"/>
      <c r="O25" s="218"/>
    </row>
    <row r="26" spans="1:15">
      <c r="A26" s="377" t="s">
        <v>380</v>
      </c>
      <c r="B26" s="378"/>
      <c r="C26" s="378"/>
      <c r="D26" s="378"/>
      <c r="E26" s="378"/>
      <c r="F26" s="378"/>
      <c r="G26" s="378"/>
      <c r="H26" s="379"/>
      <c r="O26" s="218"/>
    </row>
    <row r="27" spans="1:15">
      <c r="A27" s="377" t="s">
        <v>367</v>
      </c>
      <c r="B27" s="378"/>
      <c r="C27" s="378"/>
      <c r="D27" s="378"/>
      <c r="E27" s="378"/>
      <c r="F27" s="378"/>
      <c r="G27" s="378"/>
      <c r="H27" s="379"/>
      <c r="O27" s="218"/>
    </row>
    <row r="28" spans="1:15">
      <c r="A28" s="377" t="s">
        <v>368</v>
      </c>
      <c r="B28" s="378"/>
      <c r="C28" s="378"/>
      <c r="D28" s="378"/>
      <c r="E28" s="378"/>
      <c r="F28" s="378"/>
      <c r="G28" s="378"/>
      <c r="H28" s="379"/>
      <c r="O28" s="218"/>
    </row>
    <row r="29" spans="1:15">
      <c r="A29" s="377" t="s">
        <v>369</v>
      </c>
      <c r="B29" s="378"/>
      <c r="C29" s="378"/>
      <c r="D29" s="378"/>
      <c r="E29" s="378"/>
      <c r="F29" s="378"/>
      <c r="G29" s="378"/>
      <c r="H29" s="379"/>
      <c r="O29" s="218"/>
    </row>
    <row r="30" spans="1:15">
      <c r="A30" s="377" t="s">
        <v>370</v>
      </c>
      <c r="B30" s="378"/>
      <c r="C30" s="378"/>
      <c r="D30" s="378"/>
      <c r="E30" s="378"/>
      <c r="F30" s="378"/>
      <c r="G30" s="378"/>
      <c r="H30" s="379"/>
      <c r="O30" s="218"/>
    </row>
    <row r="31" spans="1:15" ht="15.75" thickBot="1">
      <c r="A31" s="380" t="s">
        <v>381</v>
      </c>
      <c r="B31" s="381"/>
      <c r="C31" s="381"/>
      <c r="D31" s="381"/>
      <c r="E31" s="381"/>
      <c r="F31" s="381"/>
      <c r="G31" s="381"/>
      <c r="H31" s="382"/>
      <c r="O31" s="218"/>
    </row>
    <row r="32" spans="1:15" s="3" customFormat="1">
      <c r="B32" s="17"/>
      <c r="C32" s="17"/>
      <c r="D32" s="17"/>
      <c r="E32" s="17"/>
      <c r="F32" s="17"/>
      <c r="G32" s="11"/>
      <c r="H32" s="11"/>
      <c r="I32" s="11"/>
    </row>
  </sheetData>
  <mergeCells count="22">
    <mergeCell ref="A1:H1"/>
    <mergeCell ref="A3:H3"/>
    <mergeCell ref="A17:H17"/>
    <mergeCell ref="A27:H27"/>
    <mergeCell ref="A26:H26"/>
    <mergeCell ref="A25:H25"/>
    <mergeCell ref="A24:H24"/>
    <mergeCell ref="A23:H23"/>
    <mergeCell ref="A22:H22"/>
    <mergeCell ref="A21:H21"/>
    <mergeCell ref="A20:H20"/>
    <mergeCell ref="A19:H19"/>
    <mergeCell ref="A2:H2"/>
    <mergeCell ref="A18:H18"/>
    <mergeCell ref="A16:H16"/>
    <mergeCell ref="A15:H15"/>
    <mergeCell ref="A14:H14"/>
    <mergeCell ref="A13:H13"/>
    <mergeCell ref="A31:H31"/>
    <mergeCell ref="A30:H30"/>
    <mergeCell ref="A29:H29"/>
    <mergeCell ref="A28:H28"/>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sheetPr codeName="Sheet38"/>
  <dimension ref="A1:F14"/>
  <sheetViews>
    <sheetView topLeftCell="A2" zoomScale="85" zoomScaleNormal="85" workbookViewId="0">
      <selection sqref="A1:XFD1"/>
    </sheetView>
  </sheetViews>
  <sheetFormatPr defaultColWidth="9.140625" defaultRowHeight="15"/>
  <cols>
    <col min="1" max="1" width="40.140625" style="31" bestFit="1" customWidth="1"/>
    <col min="2" max="2" width="27" style="31" bestFit="1" customWidth="1"/>
    <col min="3" max="4" width="24.140625" style="31" bestFit="1" customWidth="1"/>
    <col min="5" max="16384" width="9.140625" style="31"/>
  </cols>
  <sheetData>
    <row r="1" spans="1:6" hidden="1">
      <c r="A1" s="31">
        <v>1</v>
      </c>
      <c r="B1" s="31">
        <v>2</v>
      </c>
      <c r="C1" s="31">
        <v>3</v>
      </c>
      <c r="D1" s="31">
        <v>4</v>
      </c>
    </row>
    <row r="2" spans="1:6" ht="15.75" thickBot="1">
      <c r="A2" s="30" t="s">
        <v>227</v>
      </c>
    </row>
    <row r="3" spans="1:6" ht="15.75" thickBot="1">
      <c r="A3" s="394" t="s">
        <v>324</v>
      </c>
      <c r="B3" s="395"/>
      <c r="C3" s="395"/>
      <c r="D3" s="396"/>
    </row>
    <row r="4" spans="1:6" ht="15.75" thickBot="1">
      <c r="A4" s="154"/>
      <c r="B4" s="123"/>
      <c r="C4" s="123"/>
      <c r="D4" s="33"/>
    </row>
    <row r="5" spans="1:6">
      <c r="A5" s="120" t="s">
        <v>52</v>
      </c>
      <c r="B5" s="122" t="s">
        <v>39</v>
      </c>
      <c r="C5" s="123"/>
      <c r="D5" s="33"/>
    </row>
    <row r="6" spans="1:6">
      <c r="A6" s="105" t="s">
        <v>187</v>
      </c>
      <c r="B6" s="107">
        <v>0</v>
      </c>
      <c r="C6" s="123"/>
      <c r="D6" s="33"/>
    </row>
    <row r="7" spans="1:6">
      <c r="A7" s="105" t="s">
        <v>186</v>
      </c>
      <c r="B7" s="107">
        <v>6049</v>
      </c>
      <c r="C7" s="123"/>
      <c r="D7" s="33"/>
    </row>
    <row r="8" spans="1:6">
      <c r="A8" s="105" t="s">
        <v>188</v>
      </c>
      <c r="B8" s="107">
        <f>B7*OM_High_2</f>
        <v>430.68880000000001</v>
      </c>
      <c r="C8" s="123"/>
      <c r="D8" s="33"/>
    </row>
    <row r="9" spans="1:6">
      <c r="A9" s="105" t="s">
        <v>177</v>
      </c>
      <c r="B9" s="95"/>
      <c r="C9" s="123"/>
      <c r="D9" s="33"/>
    </row>
    <row r="10" spans="1:6">
      <c r="A10" s="410"/>
      <c r="B10" s="474"/>
      <c r="C10" s="123"/>
      <c r="D10" s="33"/>
    </row>
    <row r="11" spans="1:6" ht="15.75" thickBot="1">
      <c r="A11" s="114" t="s">
        <v>405</v>
      </c>
      <c r="B11" s="116">
        <v>20</v>
      </c>
      <c r="C11" s="123"/>
      <c r="D11" s="33"/>
    </row>
    <row r="12" spans="1:6" ht="15.75" thickBot="1">
      <c r="A12" s="32"/>
      <c r="B12" s="33"/>
      <c r="C12" s="123"/>
      <c r="D12" s="33"/>
    </row>
    <row r="13" spans="1:6">
      <c r="A13" s="117"/>
      <c r="B13" s="118" t="s">
        <v>178</v>
      </c>
      <c r="C13" s="118" t="s">
        <v>290</v>
      </c>
      <c r="D13" s="119" t="s">
        <v>481</v>
      </c>
    </row>
    <row r="14" spans="1:6">
      <c r="A14" s="105" t="s">
        <v>57</v>
      </c>
      <c r="B14" s="148">
        <f t="shared" ref="B14" si="0">-PMT(Annual_rate,B$11,(B$6+B$7))+B$8</f>
        <v>1001.6716078209537</v>
      </c>
      <c r="C14" s="106">
        <f>$B$6+$B$7</f>
        <v>6049</v>
      </c>
      <c r="D14" s="107">
        <f>$B$8</f>
        <v>430.68880000000001</v>
      </c>
      <c r="F14" s="108"/>
    </row>
  </sheetData>
  <mergeCells count="2">
    <mergeCell ref="A3:D3"/>
    <mergeCell ref="A10:B10"/>
  </mergeCells>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Sheet30"/>
  <dimension ref="A1:N275"/>
  <sheetViews>
    <sheetView topLeftCell="B1" zoomScale="85" zoomScaleNormal="85" workbookViewId="0">
      <selection activeCell="J14" sqref="J14"/>
    </sheetView>
  </sheetViews>
  <sheetFormatPr defaultColWidth="9.140625" defaultRowHeight="15"/>
  <cols>
    <col min="1" max="1" width="10.7109375" style="31" hidden="1" customWidth="1"/>
    <col min="2" max="2" width="58" style="31" customWidth="1"/>
    <col min="3" max="3" width="19.42578125" style="31" customWidth="1"/>
    <col min="4" max="4" width="12.42578125" style="31" bestFit="1" customWidth="1"/>
    <col min="5" max="5" width="14.7109375" style="31" customWidth="1"/>
    <col min="6" max="6" width="16.85546875" style="31" customWidth="1"/>
    <col min="7" max="16384" width="9.140625" style="31"/>
  </cols>
  <sheetData>
    <row r="1" spans="1:8" ht="15.75" thickBot="1">
      <c r="B1" s="30" t="s">
        <v>228</v>
      </c>
    </row>
    <row r="2" spans="1:8" s="3" customFormat="1">
      <c r="B2" s="338" t="s">
        <v>332</v>
      </c>
      <c r="C2" s="336"/>
      <c r="D2" s="336"/>
      <c r="E2" s="336"/>
      <c r="F2" s="337"/>
    </row>
    <row r="3" spans="1:8" s="3" customFormat="1">
      <c r="B3" s="4" t="s">
        <v>405</v>
      </c>
      <c r="C3" s="5">
        <v>20</v>
      </c>
      <c r="D3" s="374"/>
      <c r="E3" s="374"/>
      <c r="F3" s="375"/>
    </row>
    <row r="4" spans="1:8" s="3" customFormat="1" hidden="1">
      <c r="B4" s="7" t="s">
        <v>254</v>
      </c>
      <c r="C4" s="6" t="s">
        <v>255</v>
      </c>
      <c r="D4" s="374"/>
      <c r="E4" s="374"/>
      <c r="F4" s="375"/>
    </row>
    <row r="5" spans="1:8" s="3" customFormat="1">
      <c r="B5" s="7"/>
      <c r="C5" s="204" t="s">
        <v>207</v>
      </c>
      <c r="D5" s="204" t="s">
        <v>18</v>
      </c>
      <c r="E5" s="204" t="s">
        <v>208</v>
      </c>
      <c r="F5" s="375"/>
    </row>
    <row r="6" spans="1:8" s="3" customFormat="1" ht="17.25">
      <c r="B6" s="7" t="s">
        <v>265</v>
      </c>
      <c r="C6" s="6">
        <f>18*FEET_IMPAC</f>
        <v>65340</v>
      </c>
      <c r="D6" s="6">
        <f>20*FEET_IMPAC</f>
        <v>72600</v>
      </c>
      <c r="E6" s="6">
        <f>22*FEET_IMPAC</f>
        <v>79860</v>
      </c>
      <c r="F6" s="375"/>
    </row>
    <row r="7" spans="1:8" s="3" customFormat="1">
      <c r="B7" s="7" t="s">
        <v>258</v>
      </c>
      <c r="C7" s="6">
        <f>C6*CCI_2006</f>
        <v>74199.803896271449</v>
      </c>
      <c r="D7" s="6">
        <f>D6*CCI_2006</f>
        <v>82444.226551412721</v>
      </c>
      <c r="E7" s="6">
        <f>E6*CCI_2006</f>
        <v>90688.649206553993</v>
      </c>
      <c r="F7" s="375"/>
    </row>
    <row r="8" spans="1:8" s="3" customFormat="1">
      <c r="B8" s="7" t="s">
        <v>262</v>
      </c>
      <c r="C8" s="6">
        <f>C7*LOW_DE</f>
        <v>3709.9901948135725</v>
      </c>
      <c r="D8" s="6">
        <f>D7*MID_DE</f>
        <v>18549.950974067866</v>
      </c>
      <c r="E8" s="6">
        <f>E7*HIGH_DE</f>
        <v>36275.4596826216</v>
      </c>
      <c r="F8" s="375"/>
    </row>
    <row r="9" spans="1:8" s="3" customFormat="1">
      <c r="B9" s="7" t="s">
        <v>296</v>
      </c>
      <c r="C9" s="45">
        <v>1</v>
      </c>
      <c r="D9" s="45">
        <v>1</v>
      </c>
      <c r="E9" s="45">
        <v>1</v>
      </c>
      <c r="F9" s="375"/>
    </row>
    <row r="10" spans="1:8" s="3" customFormat="1">
      <c r="B10" s="7" t="s">
        <v>263</v>
      </c>
      <c r="C10" s="6">
        <f>C7*LOW_OM</f>
        <v>3709.9901948135725</v>
      </c>
      <c r="D10" s="6">
        <f>D7*MED_OM</f>
        <v>4122.2113275706361</v>
      </c>
      <c r="E10" s="6">
        <f>E7*HIGH_OM</f>
        <v>4534.4324603277</v>
      </c>
      <c r="F10" s="375"/>
    </row>
    <row r="11" spans="1:8" s="3" customFormat="1">
      <c r="B11" s="383"/>
      <c r="C11" s="384"/>
      <c r="D11" s="384"/>
      <c r="E11" s="384"/>
      <c r="F11" s="385"/>
    </row>
    <row r="12" spans="1:8" s="3" customFormat="1">
      <c r="B12" s="4" t="s">
        <v>178</v>
      </c>
      <c r="C12" s="204" t="s">
        <v>207</v>
      </c>
      <c r="D12" s="204" t="s">
        <v>18</v>
      </c>
      <c r="E12" s="204" t="s">
        <v>208</v>
      </c>
      <c r="F12" s="171"/>
    </row>
    <row r="13" spans="1:8" s="3" customFormat="1">
      <c r="A13" s="9" t="s">
        <v>57</v>
      </c>
      <c r="B13" s="7" t="s">
        <v>57</v>
      </c>
      <c r="C13" s="6">
        <f t="shared" ref="C13:E20" ca="1" si="0">-PMT(Annual_rate,$C$3,C$7+C$8)+Project_Acres_Developable*INDIRECT(CONCATENATE("LAND_COST_",$A13))*Annual_rate*C$9+C$10</f>
        <v>14564.123603125703</v>
      </c>
      <c r="D13" s="6">
        <f t="shared" ca="1" si="0"/>
        <v>17155.34722723451</v>
      </c>
      <c r="E13" s="6">
        <f t="shared" ca="1" si="0"/>
        <v>20018.94616276228</v>
      </c>
      <c r="F13" s="308" t="str">
        <f t="shared" ref="F13:H20" ca="1" si="1">IF((-PMT(Annual_rate,$C$3,C23)+Annual_rate*C33+C43)=C13,"","Check")</f>
        <v/>
      </c>
      <c r="G13" s="285" t="str">
        <f t="shared" ca="1" si="1"/>
        <v/>
      </c>
      <c r="H13" s="287" t="str">
        <f t="shared" ca="1" si="1"/>
        <v/>
      </c>
    </row>
    <row r="14" spans="1:8" s="3" customFormat="1">
      <c r="A14" s="9" t="s">
        <v>266</v>
      </c>
      <c r="B14" s="9" t="s">
        <v>266</v>
      </c>
      <c r="C14" s="6">
        <f t="shared" ca="1" si="0"/>
        <v>14564.123603125703</v>
      </c>
      <c r="D14" s="6">
        <f t="shared" ca="1" si="0"/>
        <v>17155.34722723451</v>
      </c>
      <c r="E14" s="6">
        <f t="shared" ca="1" si="0"/>
        <v>20018.94616276228</v>
      </c>
      <c r="F14" s="308" t="str">
        <f t="shared" ca="1" si="1"/>
        <v/>
      </c>
      <c r="G14" s="285" t="str">
        <f t="shared" ca="1" si="1"/>
        <v/>
      </c>
      <c r="H14" s="287" t="str">
        <f t="shared" ca="1" si="1"/>
        <v/>
      </c>
    </row>
    <row r="15" spans="1:8" s="3" customFormat="1">
      <c r="A15" s="9" t="s">
        <v>267</v>
      </c>
      <c r="B15" s="9" t="s">
        <v>267</v>
      </c>
      <c r="C15" s="6">
        <f t="shared" ca="1" si="0"/>
        <v>14564.123603125703</v>
      </c>
      <c r="D15" s="6">
        <f t="shared" ca="1" si="0"/>
        <v>17155.34722723451</v>
      </c>
      <c r="E15" s="6">
        <f t="shared" ca="1" si="0"/>
        <v>20018.94616276228</v>
      </c>
      <c r="F15" s="308" t="str">
        <f t="shared" ca="1" si="1"/>
        <v/>
      </c>
      <c r="G15" s="285" t="str">
        <f t="shared" ca="1" si="1"/>
        <v/>
      </c>
      <c r="H15" s="287" t="str">
        <f t="shared" ca="1" si="1"/>
        <v/>
      </c>
    </row>
    <row r="16" spans="1:8" s="3" customFormat="1">
      <c r="A16" s="9" t="s">
        <v>268</v>
      </c>
      <c r="B16" s="9" t="s">
        <v>268</v>
      </c>
      <c r="C16" s="6">
        <f t="shared" ca="1" si="0"/>
        <v>14564.123603125703</v>
      </c>
      <c r="D16" s="6">
        <f t="shared" ca="1" si="0"/>
        <v>17155.34722723451</v>
      </c>
      <c r="E16" s="6">
        <f t="shared" ca="1" si="0"/>
        <v>20018.94616276228</v>
      </c>
      <c r="F16" s="308" t="str">
        <f t="shared" ca="1" si="1"/>
        <v/>
      </c>
      <c r="G16" s="285" t="str">
        <f t="shared" ca="1" si="1"/>
        <v/>
      </c>
      <c r="H16" s="287" t="str">
        <f t="shared" ca="1" si="1"/>
        <v/>
      </c>
    </row>
    <row r="17" spans="1:10" s="3" customFormat="1">
      <c r="A17" s="9" t="s">
        <v>269</v>
      </c>
      <c r="B17" s="9" t="s">
        <v>269</v>
      </c>
      <c r="C17" s="6">
        <f t="shared" ca="1" si="0"/>
        <v>14564.123603125703</v>
      </c>
      <c r="D17" s="6">
        <f t="shared" ca="1" si="0"/>
        <v>17155.34722723451</v>
      </c>
      <c r="E17" s="6">
        <f t="shared" ca="1" si="0"/>
        <v>20018.94616276228</v>
      </c>
      <c r="F17" s="308" t="str">
        <f t="shared" ca="1" si="1"/>
        <v/>
      </c>
      <c r="G17" s="285" t="str">
        <f t="shared" ca="1" si="1"/>
        <v/>
      </c>
      <c r="H17" s="287" t="str">
        <f t="shared" ca="1" si="1"/>
        <v/>
      </c>
      <c r="I17" s="44"/>
      <c r="J17" s="44"/>
    </row>
    <row r="18" spans="1:10" s="3" customFormat="1">
      <c r="A18" s="9" t="s">
        <v>270</v>
      </c>
      <c r="B18" s="9" t="s">
        <v>270</v>
      </c>
      <c r="C18" s="6">
        <f t="shared" ca="1" si="0"/>
        <v>14564.123603125703</v>
      </c>
      <c r="D18" s="6">
        <f t="shared" ca="1" si="0"/>
        <v>17155.34722723451</v>
      </c>
      <c r="E18" s="6">
        <f t="shared" ca="1" si="0"/>
        <v>20018.94616276228</v>
      </c>
      <c r="F18" s="308" t="str">
        <f t="shared" ca="1" si="1"/>
        <v/>
      </c>
      <c r="G18" s="285" t="str">
        <f t="shared" ca="1" si="1"/>
        <v/>
      </c>
      <c r="H18" s="287" t="str">
        <f t="shared" ca="1" si="1"/>
        <v/>
      </c>
    </row>
    <row r="19" spans="1:10" s="3" customFormat="1">
      <c r="A19" s="9" t="s">
        <v>271</v>
      </c>
      <c r="B19" s="9" t="s">
        <v>271</v>
      </c>
      <c r="C19" s="6">
        <f t="shared" ca="1" si="0"/>
        <v>14564.123603125703</v>
      </c>
      <c r="D19" s="6">
        <f t="shared" ca="1" si="0"/>
        <v>17155.34722723451</v>
      </c>
      <c r="E19" s="6">
        <f t="shared" ca="1" si="0"/>
        <v>20018.94616276228</v>
      </c>
      <c r="F19" s="308" t="str">
        <f t="shared" ca="1" si="1"/>
        <v/>
      </c>
      <c r="G19" s="285" t="str">
        <f t="shared" ca="1" si="1"/>
        <v/>
      </c>
      <c r="H19" s="287" t="str">
        <f t="shared" ca="1" si="1"/>
        <v/>
      </c>
      <c r="I19" s="44"/>
    </row>
    <row r="20" spans="1:10" s="3" customFormat="1">
      <c r="A20" s="9" t="s">
        <v>272</v>
      </c>
      <c r="B20" s="9" t="s">
        <v>272</v>
      </c>
      <c r="C20" s="6">
        <f t="shared" ca="1" si="0"/>
        <v>14564.123603125703</v>
      </c>
      <c r="D20" s="6">
        <f t="shared" ca="1" si="0"/>
        <v>17155.34722723451</v>
      </c>
      <c r="E20" s="6">
        <f t="shared" ca="1" si="0"/>
        <v>20018.94616276228</v>
      </c>
      <c r="F20" s="308" t="str">
        <f t="shared" ca="1" si="1"/>
        <v/>
      </c>
      <c r="G20" s="285" t="str">
        <f t="shared" ca="1" si="1"/>
        <v/>
      </c>
      <c r="H20" s="287" t="str">
        <f t="shared" ca="1" si="1"/>
        <v/>
      </c>
    </row>
    <row r="21" spans="1:10" s="3" customFormat="1">
      <c r="B21" s="383"/>
      <c r="C21" s="384"/>
      <c r="D21" s="384"/>
      <c r="E21" s="384"/>
      <c r="F21" s="385"/>
    </row>
    <row r="22" spans="1:10" s="3" customFormat="1">
      <c r="B22" s="4" t="s">
        <v>290</v>
      </c>
      <c r="C22" s="204" t="s">
        <v>207</v>
      </c>
      <c r="D22" s="204" t="s">
        <v>18</v>
      </c>
      <c r="E22" s="204" t="s">
        <v>208</v>
      </c>
      <c r="F22" s="385"/>
    </row>
    <row r="23" spans="1:10" s="3" customFormat="1">
      <c r="A23" s="9" t="s">
        <v>57</v>
      </c>
      <c r="B23" s="7" t="s">
        <v>57</v>
      </c>
      <c r="C23" s="10">
        <f>C$7+C$8</f>
        <v>77909.794091085016</v>
      </c>
      <c r="D23" s="10">
        <f>D$7+D$8</f>
        <v>100994.17752548058</v>
      </c>
      <c r="E23" s="10">
        <f>E$7+E$8</f>
        <v>126964.10888917559</v>
      </c>
      <c r="F23" s="385"/>
    </row>
    <row r="24" spans="1:10" s="3" customFormat="1">
      <c r="A24" s="9" t="s">
        <v>266</v>
      </c>
      <c r="B24" s="9" t="s">
        <v>266</v>
      </c>
      <c r="C24" s="10">
        <f t="shared" ref="C24:E30" si="2">C$7+C$8</f>
        <v>77909.794091085016</v>
      </c>
      <c r="D24" s="10">
        <f t="shared" si="2"/>
        <v>100994.17752548058</v>
      </c>
      <c r="E24" s="10">
        <f t="shared" si="2"/>
        <v>126964.10888917559</v>
      </c>
      <c r="F24" s="385"/>
    </row>
    <row r="25" spans="1:10" s="3" customFormat="1">
      <c r="A25" s="9" t="s">
        <v>267</v>
      </c>
      <c r="B25" s="9" t="s">
        <v>267</v>
      </c>
      <c r="C25" s="10">
        <f t="shared" si="2"/>
        <v>77909.794091085016</v>
      </c>
      <c r="D25" s="10">
        <f t="shared" si="2"/>
        <v>100994.17752548058</v>
      </c>
      <c r="E25" s="10">
        <f t="shared" si="2"/>
        <v>126964.10888917559</v>
      </c>
      <c r="F25" s="385"/>
    </row>
    <row r="26" spans="1:10" s="3" customFormat="1">
      <c r="A26" s="9" t="s">
        <v>268</v>
      </c>
      <c r="B26" s="9" t="s">
        <v>268</v>
      </c>
      <c r="C26" s="10">
        <f t="shared" si="2"/>
        <v>77909.794091085016</v>
      </c>
      <c r="D26" s="10">
        <f t="shared" si="2"/>
        <v>100994.17752548058</v>
      </c>
      <c r="E26" s="10">
        <f t="shared" si="2"/>
        <v>126964.10888917559</v>
      </c>
      <c r="F26" s="385"/>
    </row>
    <row r="27" spans="1:10" s="3" customFormat="1">
      <c r="A27" s="9" t="s">
        <v>269</v>
      </c>
      <c r="B27" s="9" t="s">
        <v>269</v>
      </c>
      <c r="C27" s="10">
        <f t="shared" si="2"/>
        <v>77909.794091085016</v>
      </c>
      <c r="D27" s="10">
        <f t="shared" si="2"/>
        <v>100994.17752548058</v>
      </c>
      <c r="E27" s="10">
        <f t="shared" si="2"/>
        <v>126964.10888917559</v>
      </c>
      <c r="F27" s="385"/>
    </row>
    <row r="28" spans="1:10" s="3" customFormat="1">
      <c r="A28" s="9" t="s">
        <v>270</v>
      </c>
      <c r="B28" s="9" t="s">
        <v>270</v>
      </c>
      <c r="C28" s="10">
        <f t="shared" si="2"/>
        <v>77909.794091085016</v>
      </c>
      <c r="D28" s="10">
        <f t="shared" si="2"/>
        <v>100994.17752548058</v>
      </c>
      <c r="E28" s="10">
        <f t="shared" si="2"/>
        <v>126964.10888917559</v>
      </c>
      <c r="F28" s="385"/>
    </row>
    <row r="29" spans="1:10" s="3" customFormat="1">
      <c r="A29" s="9" t="s">
        <v>271</v>
      </c>
      <c r="B29" s="9" t="s">
        <v>271</v>
      </c>
      <c r="C29" s="10">
        <f t="shared" si="2"/>
        <v>77909.794091085016</v>
      </c>
      <c r="D29" s="10">
        <f t="shared" si="2"/>
        <v>100994.17752548058</v>
      </c>
      <c r="E29" s="10">
        <f t="shared" si="2"/>
        <v>126964.10888917559</v>
      </c>
      <c r="F29" s="385"/>
    </row>
    <row r="30" spans="1:10" s="3" customFormat="1">
      <c r="A30" s="9" t="s">
        <v>272</v>
      </c>
      <c r="B30" s="9" t="s">
        <v>272</v>
      </c>
      <c r="C30" s="10">
        <f t="shared" si="2"/>
        <v>77909.794091085016</v>
      </c>
      <c r="D30" s="10">
        <f t="shared" si="2"/>
        <v>100994.17752548058</v>
      </c>
      <c r="E30" s="10">
        <f t="shared" si="2"/>
        <v>126964.10888917559</v>
      </c>
      <c r="F30" s="496"/>
    </row>
    <row r="31" spans="1:10" s="3" customFormat="1">
      <c r="B31" s="383"/>
      <c r="C31" s="384"/>
      <c r="D31" s="384"/>
      <c r="E31" s="384"/>
      <c r="F31" s="385"/>
    </row>
    <row r="32" spans="1:10" s="3" customFormat="1">
      <c r="B32" s="4" t="s">
        <v>482</v>
      </c>
      <c r="C32" s="262" t="s">
        <v>207</v>
      </c>
      <c r="D32" s="262" t="s">
        <v>18</v>
      </c>
      <c r="E32" s="262" t="s">
        <v>208</v>
      </c>
      <c r="F32" s="385"/>
    </row>
    <row r="33" spans="1:6" s="3" customFormat="1">
      <c r="A33" s="9" t="s">
        <v>57</v>
      </c>
      <c r="B33" s="7" t="s">
        <v>57</v>
      </c>
      <c r="C33" s="10">
        <f t="shared" ref="C33:E40" ca="1" si="3">Project_Acres_Developable*INDIRECT(CONCATENATE("LAND_COST_",$A33))*C$9</f>
        <v>50000</v>
      </c>
      <c r="D33" s="10">
        <f t="shared" ca="1" si="3"/>
        <v>50000</v>
      </c>
      <c r="E33" s="10">
        <f t="shared" ca="1" si="3"/>
        <v>50000</v>
      </c>
      <c r="F33" s="385"/>
    </row>
    <row r="34" spans="1:6" s="3" customFormat="1">
      <c r="A34" s="9" t="s">
        <v>266</v>
      </c>
      <c r="B34" s="9" t="s">
        <v>266</v>
      </c>
      <c r="C34" s="10">
        <f t="shared" ca="1" si="3"/>
        <v>50000</v>
      </c>
      <c r="D34" s="10">
        <f t="shared" ca="1" si="3"/>
        <v>50000</v>
      </c>
      <c r="E34" s="10">
        <f t="shared" ca="1" si="3"/>
        <v>50000</v>
      </c>
      <c r="F34" s="385"/>
    </row>
    <row r="35" spans="1:6" s="3" customFormat="1">
      <c r="A35" s="9" t="s">
        <v>267</v>
      </c>
      <c r="B35" s="9" t="s">
        <v>267</v>
      </c>
      <c r="C35" s="10">
        <f t="shared" ca="1" si="3"/>
        <v>50000</v>
      </c>
      <c r="D35" s="10">
        <f t="shared" ca="1" si="3"/>
        <v>50000</v>
      </c>
      <c r="E35" s="10">
        <f t="shared" ca="1" si="3"/>
        <v>50000</v>
      </c>
      <c r="F35" s="385"/>
    </row>
    <row r="36" spans="1:6" s="3" customFormat="1">
      <c r="A36" s="9" t="s">
        <v>268</v>
      </c>
      <c r="B36" s="9" t="s">
        <v>268</v>
      </c>
      <c r="C36" s="10">
        <f t="shared" ca="1" si="3"/>
        <v>50000</v>
      </c>
      <c r="D36" s="10">
        <f t="shared" ca="1" si="3"/>
        <v>50000</v>
      </c>
      <c r="E36" s="10">
        <f t="shared" ca="1" si="3"/>
        <v>50000</v>
      </c>
      <c r="F36" s="385"/>
    </row>
    <row r="37" spans="1:6" s="3" customFormat="1">
      <c r="A37" s="9" t="s">
        <v>269</v>
      </c>
      <c r="B37" s="9" t="s">
        <v>269</v>
      </c>
      <c r="C37" s="10">
        <f t="shared" ca="1" si="3"/>
        <v>50000</v>
      </c>
      <c r="D37" s="10">
        <f t="shared" ca="1" si="3"/>
        <v>50000</v>
      </c>
      <c r="E37" s="10">
        <f t="shared" ca="1" si="3"/>
        <v>50000</v>
      </c>
      <c r="F37" s="385"/>
    </row>
    <row r="38" spans="1:6" s="3" customFormat="1">
      <c r="A38" s="9" t="s">
        <v>270</v>
      </c>
      <c r="B38" s="9" t="s">
        <v>270</v>
      </c>
      <c r="C38" s="10">
        <f t="shared" ca="1" si="3"/>
        <v>50000</v>
      </c>
      <c r="D38" s="10">
        <f t="shared" ca="1" si="3"/>
        <v>50000</v>
      </c>
      <c r="E38" s="10">
        <f t="shared" ca="1" si="3"/>
        <v>50000</v>
      </c>
      <c r="F38" s="385"/>
    </row>
    <row r="39" spans="1:6" s="3" customFormat="1">
      <c r="A39" s="9" t="s">
        <v>271</v>
      </c>
      <c r="B39" s="9" t="s">
        <v>271</v>
      </c>
      <c r="C39" s="10">
        <f t="shared" ca="1" si="3"/>
        <v>50000</v>
      </c>
      <c r="D39" s="10">
        <f t="shared" ca="1" si="3"/>
        <v>50000</v>
      </c>
      <c r="E39" s="10">
        <f t="shared" ca="1" si="3"/>
        <v>50000</v>
      </c>
      <c r="F39" s="385"/>
    </row>
    <row r="40" spans="1:6" s="3" customFormat="1">
      <c r="A40" s="9" t="s">
        <v>272</v>
      </c>
      <c r="B40" s="9" t="s">
        <v>272</v>
      </c>
      <c r="C40" s="10">
        <f t="shared" ca="1" si="3"/>
        <v>50000</v>
      </c>
      <c r="D40" s="10">
        <f t="shared" ca="1" si="3"/>
        <v>50000</v>
      </c>
      <c r="E40" s="10">
        <f t="shared" ca="1" si="3"/>
        <v>50000</v>
      </c>
      <c r="F40" s="496"/>
    </row>
    <row r="41" spans="1:6" s="3" customFormat="1">
      <c r="B41" s="383"/>
      <c r="C41" s="384"/>
      <c r="D41" s="384"/>
      <c r="E41" s="384"/>
      <c r="F41" s="385"/>
    </row>
    <row r="42" spans="1:6" s="3" customFormat="1">
      <c r="B42" s="4" t="s">
        <v>481</v>
      </c>
      <c r="C42" s="204" t="s">
        <v>207</v>
      </c>
      <c r="D42" s="204" t="s">
        <v>18</v>
      </c>
      <c r="E42" s="204" t="s">
        <v>208</v>
      </c>
      <c r="F42" s="385"/>
    </row>
    <row r="43" spans="1:6" s="3" customFormat="1">
      <c r="A43" s="9" t="s">
        <v>57</v>
      </c>
      <c r="B43" s="7" t="s">
        <v>57</v>
      </c>
      <c r="C43" s="10">
        <f>C$10</f>
        <v>3709.9901948135725</v>
      </c>
      <c r="D43" s="10">
        <f t="shared" ref="D43:E50" si="4">D$10</f>
        <v>4122.2113275706361</v>
      </c>
      <c r="E43" s="10">
        <f t="shared" si="4"/>
        <v>4534.4324603277</v>
      </c>
      <c r="F43" s="385"/>
    </row>
    <row r="44" spans="1:6" s="3" customFormat="1">
      <c r="A44" s="9" t="s">
        <v>266</v>
      </c>
      <c r="B44" s="9" t="s">
        <v>266</v>
      </c>
      <c r="C44" s="10">
        <f t="shared" ref="C44:C50" si="5">C$10</f>
        <v>3709.9901948135725</v>
      </c>
      <c r="D44" s="10">
        <f t="shared" si="4"/>
        <v>4122.2113275706361</v>
      </c>
      <c r="E44" s="10">
        <f t="shared" si="4"/>
        <v>4534.4324603277</v>
      </c>
      <c r="F44" s="385"/>
    </row>
    <row r="45" spans="1:6" s="3" customFormat="1">
      <c r="A45" s="9" t="s">
        <v>267</v>
      </c>
      <c r="B45" s="9" t="s">
        <v>267</v>
      </c>
      <c r="C45" s="10">
        <f t="shared" si="5"/>
        <v>3709.9901948135725</v>
      </c>
      <c r="D45" s="10">
        <f t="shared" si="4"/>
        <v>4122.2113275706361</v>
      </c>
      <c r="E45" s="10">
        <f t="shared" si="4"/>
        <v>4534.4324603277</v>
      </c>
      <c r="F45" s="385"/>
    </row>
    <row r="46" spans="1:6" s="3" customFormat="1">
      <c r="A46" s="9" t="s">
        <v>268</v>
      </c>
      <c r="B46" s="9" t="s">
        <v>268</v>
      </c>
      <c r="C46" s="10">
        <f t="shared" si="5"/>
        <v>3709.9901948135725</v>
      </c>
      <c r="D46" s="10">
        <f t="shared" si="4"/>
        <v>4122.2113275706361</v>
      </c>
      <c r="E46" s="10">
        <f t="shared" si="4"/>
        <v>4534.4324603277</v>
      </c>
      <c r="F46" s="385"/>
    </row>
    <row r="47" spans="1:6" s="3" customFormat="1">
      <c r="A47" s="9" t="s">
        <v>269</v>
      </c>
      <c r="B47" s="9" t="s">
        <v>269</v>
      </c>
      <c r="C47" s="10">
        <f t="shared" si="5"/>
        <v>3709.9901948135725</v>
      </c>
      <c r="D47" s="10">
        <f t="shared" si="4"/>
        <v>4122.2113275706361</v>
      </c>
      <c r="E47" s="10">
        <f t="shared" si="4"/>
        <v>4534.4324603277</v>
      </c>
      <c r="F47" s="385"/>
    </row>
    <row r="48" spans="1:6" s="3" customFormat="1">
      <c r="A48" s="9" t="s">
        <v>270</v>
      </c>
      <c r="B48" s="9" t="s">
        <v>270</v>
      </c>
      <c r="C48" s="10">
        <f t="shared" si="5"/>
        <v>3709.9901948135725</v>
      </c>
      <c r="D48" s="10">
        <f t="shared" si="4"/>
        <v>4122.2113275706361</v>
      </c>
      <c r="E48" s="10">
        <f t="shared" si="4"/>
        <v>4534.4324603277</v>
      </c>
      <c r="F48" s="385"/>
    </row>
    <row r="49" spans="1:14" s="3" customFormat="1">
      <c r="A49" s="9" t="s">
        <v>271</v>
      </c>
      <c r="B49" s="9" t="s">
        <v>271</v>
      </c>
      <c r="C49" s="10">
        <f t="shared" si="5"/>
        <v>3709.9901948135725</v>
      </c>
      <c r="D49" s="10">
        <f t="shared" si="4"/>
        <v>4122.2113275706361</v>
      </c>
      <c r="E49" s="10">
        <f t="shared" si="4"/>
        <v>4534.4324603277</v>
      </c>
      <c r="F49" s="385"/>
    </row>
    <row r="50" spans="1:14" s="3" customFormat="1">
      <c r="A50" s="9" t="s">
        <v>272</v>
      </c>
      <c r="B50" s="9" t="s">
        <v>272</v>
      </c>
      <c r="C50" s="10">
        <f t="shared" si="5"/>
        <v>3709.9901948135725</v>
      </c>
      <c r="D50" s="10">
        <f t="shared" si="4"/>
        <v>4122.2113275706361</v>
      </c>
      <c r="E50" s="10">
        <f t="shared" si="4"/>
        <v>4534.4324603277</v>
      </c>
      <c r="F50" s="496"/>
    </row>
    <row r="51" spans="1:14" s="34" customFormat="1" ht="31.5" customHeight="1">
      <c r="A51" s="3"/>
      <c r="B51" s="493" t="s">
        <v>284</v>
      </c>
      <c r="C51" s="494"/>
      <c r="D51" s="494"/>
      <c r="E51" s="494"/>
      <c r="F51" s="495"/>
      <c r="L51" s="3"/>
      <c r="M51" s="3"/>
      <c r="N51" s="3"/>
    </row>
    <row r="52" spans="1:14" s="3" customFormat="1" ht="15.75" thickBot="1">
      <c r="B52" s="490" t="s">
        <v>273</v>
      </c>
      <c r="C52" s="491"/>
      <c r="D52" s="491"/>
      <c r="E52" s="491"/>
      <c r="F52" s="492"/>
    </row>
    <row r="53" spans="1:14" s="3" customFormat="1">
      <c r="C53" s="13"/>
      <c r="D53" s="13"/>
      <c r="E53" s="13"/>
      <c r="F53" s="13"/>
    </row>
    <row r="54" spans="1:14">
      <c r="L54" s="3"/>
      <c r="M54" s="3"/>
      <c r="N54" s="3"/>
    </row>
    <row r="55" spans="1:14">
      <c r="L55" s="3"/>
      <c r="M55" s="3"/>
      <c r="N55" s="3"/>
    </row>
    <row r="56" spans="1:14">
      <c r="L56" s="3"/>
      <c r="M56" s="3"/>
      <c r="N56" s="3"/>
    </row>
    <row r="57" spans="1:14">
      <c r="L57" s="3"/>
      <c r="M57" s="3"/>
      <c r="N57" s="3"/>
    </row>
    <row r="58" spans="1:14">
      <c r="L58" s="3"/>
      <c r="M58" s="3"/>
      <c r="N58" s="3"/>
    </row>
    <row r="59" spans="1:14">
      <c r="L59" s="3"/>
      <c r="M59" s="3"/>
      <c r="N59" s="3"/>
    </row>
    <row r="60" spans="1:14">
      <c r="L60" s="3"/>
      <c r="M60" s="3"/>
      <c r="N60" s="3"/>
    </row>
    <row r="61" spans="1:14">
      <c r="L61" s="3"/>
      <c r="M61" s="3"/>
      <c r="N61" s="3"/>
    </row>
    <row r="62" spans="1:14">
      <c r="L62" s="3"/>
      <c r="M62" s="3"/>
      <c r="N62" s="3"/>
    </row>
    <row r="63" spans="1:14">
      <c r="L63" s="3"/>
      <c r="M63" s="3"/>
      <c r="N63" s="3"/>
    </row>
    <row r="64" spans="1:14">
      <c r="L64" s="3"/>
      <c r="M64" s="3"/>
      <c r="N64" s="3"/>
    </row>
    <row r="65" spans="12:14">
      <c r="L65" s="3"/>
      <c r="M65" s="3"/>
      <c r="N65" s="3"/>
    </row>
    <row r="66" spans="12:14">
      <c r="L66" s="3"/>
      <c r="M66" s="3"/>
      <c r="N66" s="3"/>
    </row>
    <row r="67" spans="12:14">
      <c r="L67" s="3"/>
      <c r="M67" s="3"/>
      <c r="N67" s="3"/>
    </row>
    <row r="68" spans="12:14">
      <c r="L68" s="3"/>
      <c r="M68" s="3"/>
      <c r="N68" s="3"/>
    </row>
    <row r="69" spans="12:14">
      <c r="L69" s="3"/>
      <c r="M69" s="3"/>
      <c r="N69" s="3"/>
    </row>
    <row r="70" spans="12:14">
      <c r="L70" s="3"/>
      <c r="M70" s="3"/>
      <c r="N70" s="3"/>
    </row>
    <row r="71" spans="12:14">
      <c r="L71" s="3"/>
      <c r="M71" s="3"/>
      <c r="N71" s="3"/>
    </row>
    <row r="72" spans="12:14">
      <c r="L72" s="3"/>
      <c r="M72" s="3"/>
      <c r="N72" s="3"/>
    </row>
    <row r="73" spans="12:14">
      <c r="L73" s="3"/>
      <c r="M73" s="3"/>
      <c r="N73" s="3"/>
    </row>
    <row r="74" spans="12:14">
      <c r="L74" s="3"/>
      <c r="M74" s="3"/>
      <c r="N74" s="3"/>
    </row>
    <row r="75" spans="12:14">
      <c r="L75" s="3"/>
      <c r="M75" s="3"/>
      <c r="N75" s="3"/>
    </row>
    <row r="76" spans="12:14">
      <c r="L76" s="3"/>
      <c r="M76" s="3"/>
      <c r="N76" s="3"/>
    </row>
    <row r="77" spans="12:14">
      <c r="L77" s="3"/>
      <c r="M77" s="3"/>
      <c r="N77" s="3"/>
    </row>
    <row r="78" spans="12:14">
      <c r="L78" s="3"/>
      <c r="M78" s="3"/>
      <c r="N78" s="3"/>
    </row>
    <row r="79" spans="12:14">
      <c r="L79" s="3"/>
      <c r="M79" s="3"/>
      <c r="N79" s="3"/>
    </row>
    <row r="80" spans="12:14">
      <c r="L80" s="3"/>
      <c r="M80" s="3"/>
      <c r="N80" s="3"/>
    </row>
    <row r="81" spans="12:14">
      <c r="L81" s="3"/>
      <c r="M81" s="3"/>
      <c r="N81" s="3"/>
    </row>
    <row r="82" spans="12:14">
      <c r="L82" s="3"/>
      <c r="M82" s="3"/>
      <c r="N82" s="3"/>
    </row>
    <row r="83" spans="12:14">
      <c r="L83" s="3"/>
      <c r="M83" s="3"/>
      <c r="N83" s="3"/>
    </row>
    <row r="84" spans="12:14">
      <c r="L84" s="3"/>
      <c r="M84" s="3"/>
      <c r="N84" s="3"/>
    </row>
    <row r="85" spans="12:14">
      <c r="L85" s="3"/>
      <c r="M85" s="3"/>
      <c r="N85" s="3"/>
    </row>
    <row r="86" spans="12:14">
      <c r="L86" s="3"/>
      <c r="M86" s="3"/>
      <c r="N86" s="3"/>
    </row>
    <row r="87" spans="12:14">
      <c r="L87" s="3"/>
      <c r="M87" s="3"/>
      <c r="N87" s="3"/>
    </row>
    <row r="88" spans="12:14">
      <c r="L88" s="3"/>
      <c r="M88" s="3"/>
      <c r="N88" s="3"/>
    </row>
    <row r="89" spans="12:14">
      <c r="L89" s="3"/>
      <c r="M89" s="3"/>
      <c r="N89" s="3"/>
    </row>
    <row r="90" spans="12:14">
      <c r="L90" s="3"/>
      <c r="M90" s="3"/>
      <c r="N90" s="3"/>
    </row>
    <row r="91" spans="12:14">
      <c r="L91" s="3"/>
      <c r="M91" s="3"/>
      <c r="N91" s="3"/>
    </row>
    <row r="92" spans="12:14">
      <c r="L92" s="3"/>
      <c r="M92" s="3"/>
      <c r="N92" s="3"/>
    </row>
    <row r="93" spans="12:14">
      <c r="L93" s="3"/>
      <c r="M93" s="3"/>
      <c r="N93" s="3"/>
    </row>
    <row r="94" spans="12:14">
      <c r="L94" s="3"/>
      <c r="M94" s="3"/>
      <c r="N94" s="3"/>
    </row>
    <row r="95" spans="12:14">
      <c r="L95" s="3"/>
      <c r="M95" s="3"/>
      <c r="N95" s="3"/>
    </row>
    <row r="96" spans="12:14">
      <c r="L96" s="3"/>
      <c r="M96" s="3"/>
      <c r="N96" s="3"/>
    </row>
    <row r="97" spans="12:14">
      <c r="L97" s="3"/>
      <c r="M97" s="3"/>
      <c r="N97" s="3"/>
    </row>
    <row r="98" spans="12:14">
      <c r="L98" s="3"/>
      <c r="M98" s="3"/>
      <c r="N98" s="3"/>
    </row>
    <row r="99" spans="12:14">
      <c r="L99" s="3"/>
      <c r="M99" s="3"/>
      <c r="N99" s="3"/>
    </row>
    <row r="100" spans="12:14">
      <c r="L100" s="3"/>
      <c r="M100" s="3"/>
      <c r="N100" s="3"/>
    </row>
    <row r="101" spans="12:14">
      <c r="L101" s="3"/>
      <c r="M101" s="3"/>
      <c r="N101" s="3"/>
    </row>
    <row r="102" spans="12:14">
      <c r="L102" s="3"/>
      <c r="M102" s="3"/>
      <c r="N102" s="3"/>
    </row>
    <row r="103" spans="12:14">
      <c r="L103" s="3"/>
      <c r="M103" s="3"/>
      <c r="N103" s="3"/>
    </row>
    <row r="104" spans="12:14">
      <c r="L104" s="3"/>
      <c r="M104" s="3"/>
      <c r="N104" s="3"/>
    </row>
    <row r="105" spans="12:14">
      <c r="L105" s="3"/>
      <c r="M105" s="3"/>
      <c r="N105" s="3"/>
    </row>
    <row r="106" spans="12:14">
      <c r="L106" s="3"/>
      <c r="M106" s="3"/>
      <c r="N106" s="3"/>
    </row>
    <row r="107" spans="12:14">
      <c r="L107" s="3"/>
      <c r="M107" s="3"/>
      <c r="N107" s="3"/>
    </row>
    <row r="108" spans="12:14">
      <c r="L108" s="3"/>
      <c r="M108" s="3"/>
      <c r="N108" s="3"/>
    </row>
    <row r="109" spans="12:14">
      <c r="L109" s="3"/>
      <c r="M109" s="3"/>
      <c r="N109" s="3"/>
    </row>
    <row r="110" spans="12:14">
      <c r="L110" s="3"/>
      <c r="M110" s="3"/>
      <c r="N110" s="3"/>
    </row>
    <row r="111" spans="12:14">
      <c r="L111" s="3"/>
      <c r="M111" s="3"/>
      <c r="N111" s="3"/>
    </row>
    <row r="112" spans="12:14">
      <c r="L112" s="3"/>
      <c r="M112" s="3"/>
      <c r="N112" s="3"/>
    </row>
    <row r="113" spans="12:14">
      <c r="L113" s="3"/>
      <c r="M113" s="3"/>
      <c r="N113" s="3"/>
    </row>
    <row r="114" spans="12:14">
      <c r="L114" s="3"/>
      <c r="M114" s="3"/>
      <c r="N114" s="3"/>
    </row>
    <row r="115" spans="12:14">
      <c r="L115" s="3"/>
      <c r="M115" s="3"/>
      <c r="N115" s="3"/>
    </row>
    <row r="116" spans="12:14">
      <c r="L116" s="3"/>
      <c r="M116" s="3"/>
      <c r="N116" s="3"/>
    </row>
    <row r="117" spans="12:14">
      <c r="L117" s="3"/>
      <c r="M117" s="3"/>
      <c r="N117" s="3"/>
    </row>
    <row r="118" spans="12:14">
      <c r="L118" s="3"/>
      <c r="M118" s="3"/>
      <c r="N118" s="3"/>
    </row>
    <row r="119" spans="12:14">
      <c r="L119" s="3"/>
      <c r="M119" s="3"/>
      <c r="N119" s="3"/>
    </row>
    <row r="120" spans="12:14">
      <c r="L120" s="3"/>
      <c r="M120" s="3"/>
      <c r="N120" s="3"/>
    </row>
    <row r="121" spans="12:14">
      <c r="L121" s="3"/>
      <c r="M121" s="3"/>
      <c r="N121" s="3"/>
    </row>
    <row r="122" spans="12:14">
      <c r="L122" s="3"/>
      <c r="M122" s="3"/>
      <c r="N122" s="3"/>
    </row>
    <row r="123" spans="12:14">
      <c r="L123" s="3"/>
      <c r="M123" s="3"/>
      <c r="N123" s="3"/>
    </row>
    <row r="124" spans="12:14">
      <c r="L124" s="3"/>
      <c r="M124" s="3"/>
      <c r="N124" s="3"/>
    </row>
    <row r="125" spans="12:14">
      <c r="L125" s="3"/>
      <c r="M125" s="3"/>
      <c r="N125" s="3"/>
    </row>
    <row r="126" spans="12:14">
      <c r="L126" s="3"/>
      <c r="M126" s="3"/>
      <c r="N126" s="3"/>
    </row>
    <row r="127" spans="12:14">
      <c r="L127" s="3"/>
      <c r="M127" s="3"/>
      <c r="N127" s="3"/>
    </row>
    <row r="128" spans="12:14">
      <c r="L128" s="3"/>
      <c r="M128" s="3"/>
      <c r="N128" s="3"/>
    </row>
    <row r="129" spans="12:14">
      <c r="L129" s="3"/>
      <c r="M129" s="3"/>
      <c r="N129" s="3"/>
    </row>
    <row r="130" spans="12:14">
      <c r="L130" s="3"/>
      <c r="M130" s="3"/>
      <c r="N130" s="3"/>
    </row>
    <row r="131" spans="12:14">
      <c r="L131" s="3"/>
      <c r="M131" s="3"/>
      <c r="N131" s="3"/>
    </row>
    <row r="132" spans="12:14">
      <c r="L132" s="3"/>
      <c r="M132" s="3"/>
      <c r="N132" s="3"/>
    </row>
    <row r="133" spans="12:14">
      <c r="L133" s="3"/>
      <c r="M133" s="3"/>
      <c r="N133" s="3"/>
    </row>
    <row r="134" spans="12:14">
      <c r="L134" s="3"/>
      <c r="M134" s="3"/>
      <c r="N134" s="3"/>
    </row>
    <row r="135" spans="12:14">
      <c r="L135" s="3"/>
      <c r="M135" s="3"/>
      <c r="N135" s="3"/>
    </row>
    <row r="136" spans="12:14">
      <c r="L136" s="3"/>
      <c r="M136" s="3"/>
      <c r="N136" s="3"/>
    </row>
    <row r="137" spans="12:14">
      <c r="L137" s="3"/>
      <c r="M137" s="3"/>
      <c r="N137" s="3"/>
    </row>
    <row r="138" spans="12:14">
      <c r="L138" s="3"/>
      <c r="M138" s="3"/>
      <c r="N138" s="3"/>
    </row>
    <row r="139" spans="12:14">
      <c r="L139" s="3"/>
      <c r="M139" s="3"/>
      <c r="N139" s="3"/>
    </row>
    <row r="140" spans="12:14">
      <c r="L140" s="3"/>
      <c r="M140" s="3"/>
      <c r="N140" s="3"/>
    </row>
    <row r="141" spans="12:14">
      <c r="L141" s="3"/>
      <c r="M141" s="3"/>
      <c r="N141" s="3"/>
    </row>
    <row r="142" spans="12:14">
      <c r="L142" s="3"/>
      <c r="M142" s="3"/>
      <c r="N142" s="3"/>
    </row>
    <row r="143" spans="12:14">
      <c r="L143" s="3"/>
      <c r="M143" s="3"/>
      <c r="N143" s="3"/>
    </row>
    <row r="144" spans="12:14">
      <c r="L144" s="3"/>
      <c r="M144" s="3"/>
      <c r="N144" s="3"/>
    </row>
    <row r="145" spans="12:14">
      <c r="L145" s="3"/>
      <c r="M145" s="3"/>
      <c r="N145" s="3"/>
    </row>
    <row r="146" spans="12:14">
      <c r="L146" s="3"/>
      <c r="M146" s="3"/>
      <c r="N146" s="3"/>
    </row>
    <row r="147" spans="12:14">
      <c r="L147" s="3"/>
      <c r="M147" s="3"/>
      <c r="N147" s="3"/>
    </row>
    <row r="148" spans="12:14">
      <c r="L148" s="3"/>
      <c r="M148" s="3"/>
      <c r="N148" s="3"/>
    </row>
    <row r="149" spans="12:14">
      <c r="L149" s="3"/>
      <c r="M149" s="3"/>
      <c r="N149" s="3"/>
    </row>
    <row r="150" spans="12:14">
      <c r="L150" s="3"/>
      <c r="M150" s="3"/>
      <c r="N150" s="3"/>
    </row>
    <row r="151" spans="12:14">
      <c r="L151" s="3"/>
      <c r="M151" s="3"/>
      <c r="N151" s="3"/>
    </row>
    <row r="152" spans="12:14">
      <c r="L152" s="3"/>
      <c r="M152" s="3"/>
      <c r="N152" s="3"/>
    </row>
    <row r="153" spans="12:14">
      <c r="L153" s="3"/>
      <c r="M153" s="3"/>
      <c r="N153" s="3"/>
    </row>
    <row r="154" spans="12:14">
      <c r="L154" s="3"/>
      <c r="M154" s="3"/>
      <c r="N154" s="3"/>
    </row>
    <row r="155" spans="12:14">
      <c r="L155" s="3"/>
      <c r="M155" s="3"/>
      <c r="N155" s="3"/>
    </row>
    <row r="156" spans="12:14">
      <c r="L156" s="3"/>
      <c r="M156" s="3"/>
      <c r="N156" s="3"/>
    </row>
    <row r="157" spans="12:14">
      <c r="L157" s="3"/>
      <c r="M157" s="3"/>
      <c r="N157" s="3"/>
    </row>
    <row r="158" spans="12:14">
      <c r="L158" s="3"/>
      <c r="M158" s="3"/>
      <c r="N158" s="3"/>
    </row>
    <row r="159" spans="12:14">
      <c r="L159" s="3"/>
      <c r="M159" s="3"/>
      <c r="N159" s="3"/>
    </row>
    <row r="160" spans="12:14">
      <c r="L160" s="3"/>
      <c r="M160" s="3"/>
      <c r="N160" s="3"/>
    </row>
    <row r="161" spans="12:14">
      <c r="L161" s="3"/>
      <c r="M161" s="3"/>
      <c r="N161" s="3"/>
    </row>
    <row r="162" spans="12:14">
      <c r="L162" s="3"/>
      <c r="M162" s="3"/>
      <c r="N162" s="3"/>
    </row>
    <row r="163" spans="12:14">
      <c r="L163" s="3"/>
      <c r="M163" s="3"/>
      <c r="N163" s="3"/>
    </row>
    <row r="164" spans="12:14">
      <c r="L164" s="3"/>
      <c r="M164" s="3"/>
      <c r="N164" s="3"/>
    </row>
    <row r="165" spans="12:14">
      <c r="L165" s="3"/>
      <c r="M165" s="3"/>
      <c r="N165" s="3"/>
    </row>
    <row r="166" spans="12:14">
      <c r="L166" s="3"/>
      <c r="M166" s="3"/>
      <c r="N166" s="3"/>
    </row>
    <row r="167" spans="12:14">
      <c r="L167" s="3"/>
      <c r="M167" s="3"/>
      <c r="N167" s="3"/>
    </row>
    <row r="168" spans="12:14">
      <c r="L168" s="3"/>
      <c r="M168" s="3"/>
      <c r="N168" s="3"/>
    </row>
    <row r="169" spans="12:14">
      <c r="L169" s="3"/>
      <c r="M169" s="3"/>
      <c r="N169" s="3"/>
    </row>
    <row r="170" spans="12:14">
      <c r="L170" s="3"/>
      <c r="M170" s="3"/>
      <c r="N170" s="3"/>
    </row>
    <row r="171" spans="12:14">
      <c r="L171" s="3"/>
      <c r="M171" s="3"/>
      <c r="N171" s="3"/>
    </row>
    <row r="172" spans="12:14">
      <c r="L172" s="3"/>
      <c r="M172" s="3"/>
      <c r="N172" s="3"/>
    </row>
    <row r="173" spans="12:14">
      <c r="L173" s="3"/>
      <c r="M173" s="3"/>
      <c r="N173" s="3"/>
    </row>
    <row r="174" spans="12:14">
      <c r="L174" s="3"/>
      <c r="M174" s="3"/>
      <c r="N174" s="3"/>
    </row>
    <row r="175" spans="12:14">
      <c r="L175" s="3"/>
      <c r="M175" s="3"/>
      <c r="N175" s="3"/>
    </row>
    <row r="176" spans="12:14">
      <c r="L176" s="3"/>
      <c r="M176" s="3"/>
      <c r="N176" s="3"/>
    </row>
    <row r="177" spans="12:14">
      <c r="L177" s="3"/>
      <c r="M177" s="3"/>
      <c r="N177" s="3"/>
    </row>
    <row r="178" spans="12:14">
      <c r="L178" s="3"/>
      <c r="M178" s="3"/>
      <c r="N178" s="3"/>
    </row>
    <row r="179" spans="12:14">
      <c r="L179" s="3"/>
      <c r="M179" s="3"/>
      <c r="N179" s="3"/>
    </row>
    <row r="180" spans="12:14">
      <c r="L180" s="3"/>
      <c r="M180" s="3"/>
      <c r="N180" s="3"/>
    </row>
    <row r="181" spans="12:14">
      <c r="L181" s="3"/>
      <c r="M181" s="3"/>
      <c r="N181" s="3"/>
    </row>
    <row r="182" spans="12:14">
      <c r="L182" s="3"/>
      <c r="M182" s="3"/>
      <c r="N182" s="3"/>
    </row>
    <row r="183" spans="12:14">
      <c r="L183" s="3"/>
      <c r="M183" s="3"/>
      <c r="N183" s="3"/>
    </row>
    <row r="184" spans="12:14">
      <c r="L184" s="3"/>
      <c r="M184" s="3"/>
      <c r="N184" s="3"/>
    </row>
    <row r="185" spans="12:14">
      <c r="L185" s="3"/>
      <c r="M185" s="3"/>
      <c r="N185" s="3"/>
    </row>
    <row r="186" spans="12:14">
      <c r="L186" s="3"/>
      <c r="M186" s="3"/>
      <c r="N186" s="3"/>
    </row>
    <row r="187" spans="12:14">
      <c r="L187" s="3"/>
      <c r="M187" s="3"/>
      <c r="N187" s="3"/>
    </row>
    <row r="188" spans="12:14">
      <c r="L188" s="3"/>
      <c r="M188" s="3"/>
      <c r="N188" s="3"/>
    </row>
    <row r="189" spans="12:14">
      <c r="L189" s="3"/>
      <c r="M189" s="3"/>
      <c r="N189" s="3"/>
    </row>
    <row r="190" spans="12:14">
      <c r="L190" s="3"/>
      <c r="M190" s="3"/>
      <c r="N190" s="3"/>
    </row>
    <row r="191" spans="12:14">
      <c r="L191" s="3"/>
      <c r="M191" s="3"/>
      <c r="N191" s="3"/>
    </row>
    <row r="192" spans="12:14">
      <c r="L192" s="3"/>
      <c r="M192" s="3"/>
      <c r="N192" s="3"/>
    </row>
    <row r="193" spans="12:14">
      <c r="L193" s="3"/>
      <c r="M193" s="3"/>
      <c r="N193" s="3"/>
    </row>
    <row r="194" spans="12:14">
      <c r="L194" s="3"/>
      <c r="M194" s="3"/>
      <c r="N194" s="3"/>
    </row>
    <row r="195" spans="12:14">
      <c r="L195" s="3"/>
      <c r="M195" s="3"/>
      <c r="N195" s="3"/>
    </row>
    <row r="196" spans="12:14">
      <c r="L196" s="3"/>
      <c r="M196" s="3"/>
      <c r="N196" s="3"/>
    </row>
    <row r="197" spans="12:14">
      <c r="L197" s="3"/>
      <c r="M197" s="3"/>
      <c r="N197" s="3"/>
    </row>
    <row r="198" spans="12:14">
      <c r="L198" s="3"/>
      <c r="M198" s="3"/>
      <c r="N198" s="3"/>
    </row>
    <row r="199" spans="12:14">
      <c r="L199" s="3"/>
      <c r="M199" s="3"/>
      <c r="N199" s="3"/>
    </row>
    <row r="200" spans="12:14">
      <c r="L200" s="3"/>
      <c r="M200" s="3"/>
      <c r="N200" s="3"/>
    </row>
    <row r="201" spans="12:14">
      <c r="L201" s="3"/>
      <c r="M201" s="3"/>
      <c r="N201" s="3"/>
    </row>
    <row r="202" spans="12:14">
      <c r="L202" s="3"/>
      <c r="M202" s="3"/>
      <c r="N202" s="3"/>
    </row>
    <row r="203" spans="12:14">
      <c r="L203" s="3"/>
      <c r="M203" s="3"/>
      <c r="N203" s="3"/>
    </row>
    <row r="204" spans="12:14">
      <c r="L204" s="3"/>
      <c r="M204" s="3"/>
      <c r="N204" s="3"/>
    </row>
    <row r="205" spans="12:14">
      <c r="L205" s="3"/>
      <c r="M205" s="3"/>
      <c r="N205" s="3"/>
    </row>
    <row r="206" spans="12:14">
      <c r="L206" s="3"/>
      <c r="M206" s="3"/>
      <c r="N206" s="3"/>
    </row>
    <row r="207" spans="12:14">
      <c r="L207" s="3"/>
      <c r="M207" s="3"/>
      <c r="N207" s="3"/>
    </row>
    <row r="208" spans="12:14">
      <c r="L208" s="3"/>
      <c r="M208" s="3"/>
      <c r="N208" s="3"/>
    </row>
    <row r="209" spans="12:14">
      <c r="L209" s="3"/>
      <c r="M209" s="3"/>
      <c r="N209" s="3"/>
    </row>
    <row r="210" spans="12:14">
      <c r="L210" s="3"/>
      <c r="M210" s="3"/>
      <c r="N210" s="3"/>
    </row>
    <row r="211" spans="12:14">
      <c r="L211" s="3"/>
      <c r="M211" s="3"/>
      <c r="N211" s="3"/>
    </row>
    <row r="212" spans="12:14">
      <c r="L212" s="3"/>
      <c r="M212" s="3"/>
      <c r="N212" s="3"/>
    </row>
    <row r="213" spans="12:14">
      <c r="L213" s="3"/>
      <c r="M213" s="3"/>
      <c r="N213" s="3"/>
    </row>
    <row r="214" spans="12:14">
      <c r="L214" s="3"/>
      <c r="M214" s="3"/>
      <c r="N214" s="3"/>
    </row>
    <row r="215" spans="12:14">
      <c r="L215" s="3"/>
      <c r="M215" s="3"/>
      <c r="N215" s="3"/>
    </row>
    <row r="216" spans="12:14">
      <c r="L216" s="3"/>
      <c r="M216" s="3"/>
      <c r="N216" s="3"/>
    </row>
    <row r="217" spans="12:14">
      <c r="L217" s="3"/>
      <c r="M217" s="3"/>
      <c r="N217" s="3"/>
    </row>
    <row r="218" spans="12:14">
      <c r="L218" s="3"/>
      <c r="M218" s="3"/>
      <c r="N218" s="3"/>
    </row>
    <row r="219" spans="12:14">
      <c r="L219" s="3"/>
      <c r="M219" s="3"/>
      <c r="N219" s="3"/>
    </row>
    <row r="220" spans="12:14">
      <c r="L220" s="3"/>
      <c r="M220" s="3"/>
      <c r="N220" s="3"/>
    </row>
    <row r="221" spans="12:14">
      <c r="L221" s="3"/>
      <c r="M221" s="3"/>
      <c r="N221" s="3"/>
    </row>
    <row r="222" spans="12:14">
      <c r="L222" s="3"/>
      <c r="M222" s="3"/>
      <c r="N222" s="3"/>
    </row>
    <row r="223" spans="12:14">
      <c r="L223" s="3"/>
      <c r="M223" s="3"/>
      <c r="N223" s="3"/>
    </row>
    <row r="224" spans="12:14">
      <c r="L224" s="3"/>
      <c r="M224" s="3"/>
      <c r="N224" s="3"/>
    </row>
    <row r="225" spans="12:14">
      <c r="L225" s="3"/>
      <c r="M225" s="3"/>
      <c r="N225" s="3"/>
    </row>
    <row r="226" spans="12:14">
      <c r="L226" s="3"/>
      <c r="M226" s="3"/>
      <c r="N226" s="3"/>
    </row>
    <row r="227" spans="12:14">
      <c r="L227" s="3"/>
      <c r="M227" s="3"/>
      <c r="N227" s="3"/>
    </row>
    <row r="228" spans="12:14">
      <c r="L228" s="3"/>
      <c r="M228" s="3"/>
      <c r="N228" s="3"/>
    </row>
    <row r="229" spans="12:14">
      <c r="L229" s="3"/>
      <c r="M229" s="3"/>
      <c r="N229" s="3"/>
    </row>
    <row r="230" spans="12:14">
      <c r="L230" s="3"/>
      <c r="M230" s="3"/>
      <c r="N230" s="3"/>
    </row>
    <row r="231" spans="12:14">
      <c r="L231" s="3"/>
      <c r="M231" s="3"/>
      <c r="N231" s="3"/>
    </row>
    <row r="232" spans="12:14">
      <c r="L232" s="3"/>
      <c r="M232" s="3"/>
      <c r="N232" s="3"/>
    </row>
    <row r="233" spans="12:14">
      <c r="L233" s="3"/>
      <c r="M233" s="3"/>
      <c r="N233" s="3"/>
    </row>
    <row r="234" spans="12:14">
      <c r="L234" s="3"/>
      <c r="M234" s="3"/>
      <c r="N234" s="3"/>
    </row>
    <row r="235" spans="12:14">
      <c r="L235" s="3"/>
      <c r="M235" s="3"/>
      <c r="N235" s="3"/>
    </row>
    <row r="236" spans="12:14">
      <c r="L236" s="3"/>
      <c r="M236" s="3"/>
      <c r="N236" s="3"/>
    </row>
    <row r="237" spans="12:14">
      <c r="L237" s="3"/>
      <c r="M237" s="3"/>
      <c r="N237" s="3"/>
    </row>
    <row r="238" spans="12:14">
      <c r="L238" s="3"/>
      <c r="M238" s="3"/>
      <c r="N238" s="3"/>
    </row>
    <row r="239" spans="12:14">
      <c r="L239" s="3"/>
      <c r="M239" s="3"/>
      <c r="N239" s="3"/>
    </row>
    <row r="240" spans="12:14">
      <c r="L240" s="3"/>
      <c r="M240" s="3"/>
      <c r="N240" s="3"/>
    </row>
    <row r="241" spans="12:14">
      <c r="L241" s="3"/>
      <c r="M241" s="3"/>
      <c r="N241" s="3"/>
    </row>
    <row r="242" spans="12:14">
      <c r="L242" s="3"/>
      <c r="M242" s="3"/>
      <c r="N242" s="3"/>
    </row>
    <row r="243" spans="12:14">
      <c r="L243" s="3"/>
      <c r="M243" s="3"/>
      <c r="N243" s="3"/>
    </row>
    <row r="244" spans="12:14">
      <c r="L244" s="3"/>
      <c r="M244" s="3"/>
      <c r="N244" s="3"/>
    </row>
    <row r="245" spans="12:14">
      <c r="L245" s="3"/>
      <c r="M245" s="3"/>
      <c r="N245" s="3"/>
    </row>
    <row r="246" spans="12:14">
      <c r="L246" s="3"/>
      <c r="M246" s="3"/>
      <c r="N246" s="3"/>
    </row>
    <row r="247" spans="12:14">
      <c r="L247" s="3"/>
      <c r="M247" s="3"/>
      <c r="N247" s="3"/>
    </row>
    <row r="248" spans="12:14">
      <c r="L248" s="3"/>
      <c r="M248" s="3"/>
      <c r="N248" s="3"/>
    </row>
    <row r="249" spans="12:14">
      <c r="L249" s="3"/>
      <c r="M249" s="3"/>
      <c r="N249" s="3"/>
    </row>
    <row r="250" spans="12:14">
      <c r="L250" s="3"/>
      <c r="M250" s="3"/>
      <c r="N250" s="3"/>
    </row>
    <row r="251" spans="12:14">
      <c r="L251" s="3"/>
      <c r="M251" s="3"/>
      <c r="N251" s="3"/>
    </row>
    <row r="252" spans="12:14">
      <c r="L252" s="3"/>
      <c r="M252" s="3"/>
      <c r="N252" s="3"/>
    </row>
    <row r="253" spans="12:14">
      <c r="L253" s="3"/>
      <c r="M253" s="3"/>
      <c r="N253" s="3"/>
    </row>
    <row r="254" spans="12:14">
      <c r="L254" s="3"/>
      <c r="M254" s="3"/>
      <c r="N254" s="3"/>
    </row>
    <row r="255" spans="12:14">
      <c r="L255" s="3"/>
      <c r="M255" s="3"/>
      <c r="N255" s="3"/>
    </row>
    <row r="256" spans="12:14">
      <c r="L256" s="3"/>
      <c r="M256" s="3"/>
      <c r="N256" s="3"/>
    </row>
    <row r="257" spans="12:14">
      <c r="L257" s="3"/>
      <c r="M257" s="3"/>
      <c r="N257" s="3"/>
    </row>
    <row r="258" spans="12:14">
      <c r="L258" s="3"/>
      <c r="M258" s="3"/>
      <c r="N258" s="3"/>
    </row>
    <row r="259" spans="12:14">
      <c r="L259" s="3"/>
      <c r="M259" s="3"/>
      <c r="N259" s="3"/>
    </row>
    <row r="260" spans="12:14">
      <c r="L260" s="3"/>
      <c r="M260" s="3"/>
      <c r="N260" s="3"/>
    </row>
    <row r="261" spans="12:14">
      <c r="L261" s="3"/>
      <c r="M261" s="3"/>
      <c r="N261" s="3"/>
    </row>
    <row r="262" spans="12:14">
      <c r="L262" s="3"/>
      <c r="M262" s="3"/>
      <c r="N262" s="3"/>
    </row>
    <row r="263" spans="12:14">
      <c r="L263" s="3"/>
      <c r="M263" s="3"/>
      <c r="N263" s="3"/>
    </row>
    <row r="264" spans="12:14">
      <c r="L264" s="3"/>
      <c r="M264" s="3"/>
      <c r="N264" s="3"/>
    </row>
    <row r="265" spans="12:14">
      <c r="L265" s="3"/>
      <c r="M265" s="3"/>
      <c r="N265" s="3"/>
    </row>
    <row r="266" spans="12:14">
      <c r="L266" s="3"/>
      <c r="M266" s="3"/>
      <c r="N266" s="3"/>
    </row>
    <row r="267" spans="12:14">
      <c r="L267" s="3"/>
      <c r="M267" s="3"/>
      <c r="N267" s="3"/>
    </row>
    <row r="268" spans="12:14">
      <c r="L268" s="3"/>
      <c r="M268" s="3"/>
      <c r="N268" s="3"/>
    </row>
    <row r="269" spans="12:14">
      <c r="L269" s="3"/>
      <c r="M269" s="3"/>
      <c r="N269" s="3"/>
    </row>
    <row r="270" spans="12:14">
      <c r="L270" s="3"/>
      <c r="M270" s="3"/>
      <c r="N270" s="3"/>
    </row>
    <row r="271" spans="12:14">
      <c r="L271" s="3"/>
      <c r="M271" s="3"/>
      <c r="N271" s="3"/>
    </row>
    <row r="272" spans="12:14">
      <c r="L272" s="3"/>
      <c r="M272" s="3"/>
      <c r="N272" s="3"/>
    </row>
    <row r="273" spans="12:14">
      <c r="L273" s="3"/>
      <c r="M273" s="3"/>
      <c r="N273" s="3"/>
    </row>
    <row r="274" spans="12:14">
      <c r="L274" s="3"/>
      <c r="M274" s="3"/>
      <c r="N274" s="3"/>
    </row>
    <row r="275" spans="12:14">
      <c r="L275" s="3"/>
      <c r="M275" s="3"/>
      <c r="N275" s="3"/>
    </row>
  </sheetData>
  <mergeCells count="12">
    <mergeCell ref="B52:F52"/>
    <mergeCell ref="B2:F2"/>
    <mergeCell ref="D3:E4"/>
    <mergeCell ref="F3:F10"/>
    <mergeCell ref="B11:F11"/>
    <mergeCell ref="B51:F51"/>
    <mergeCell ref="B21:F21"/>
    <mergeCell ref="F22:F30"/>
    <mergeCell ref="B31:F31"/>
    <mergeCell ref="F42:F50"/>
    <mergeCell ref="F32:F40"/>
    <mergeCell ref="B41:F41"/>
  </mergeCells>
  <pageMargins left="0.7" right="0.7" top="0.75" bottom="0.75" header="0.3" footer="0.3"/>
</worksheet>
</file>

<file path=xl/worksheets/sheet18.xml><?xml version="1.0" encoding="utf-8"?>
<worksheet xmlns="http://schemas.openxmlformats.org/spreadsheetml/2006/main" xmlns:r="http://schemas.openxmlformats.org/officeDocument/2006/relationships">
  <sheetPr codeName="Sheet26"/>
  <dimension ref="A1:I8"/>
  <sheetViews>
    <sheetView zoomScale="85" zoomScaleNormal="85" workbookViewId="0">
      <selection activeCell="K21" sqref="K21"/>
    </sheetView>
  </sheetViews>
  <sheetFormatPr defaultColWidth="9.140625" defaultRowHeight="15"/>
  <cols>
    <col min="1" max="1" width="21.140625" style="31" customWidth="1"/>
    <col min="2" max="2" width="14.85546875" style="31" bestFit="1" customWidth="1"/>
    <col min="3" max="8" width="9.140625" style="31"/>
    <col min="9" max="9" width="17.5703125" style="31" customWidth="1"/>
    <col min="10" max="16384" width="9.140625" style="31"/>
  </cols>
  <sheetData>
    <row r="1" spans="1:9" ht="30.75" customHeight="1" thickBot="1">
      <c r="A1" s="402" t="s">
        <v>125</v>
      </c>
      <c r="B1" s="403"/>
      <c r="C1" s="403"/>
      <c r="D1" s="403"/>
      <c r="E1" s="403"/>
      <c r="F1" s="403"/>
      <c r="G1" s="403"/>
      <c r="H1" s="403"/>
      <c r="I1" s="403"/>
    </row>
    <row r="2" spans="1:9">
      <c r="A2" s="497" t="s">
        <v>15</v>
      </c>
      <c r="B2" s="498"/>
      <c r="C2" s="498"/>
      <c r="D2" s="498"/>
      <c r="E2" s="498"/>
      <c r="F2" s="498"/>
      <c r="G2" s="498"/>
      <c r="H2" s="498"/>
      <c r="I2" s="499"/>
    </row>
    <row r="3" spans="1:9">
      <c r="A3" s="503"/>
      <c r="B3" s="504"/>
      <c r="C3" s="504"/>
      <c r="D3" s="504"/>
      <c r="E3" s="504"/>
      <c r="F3" s="504"/>
      <c r="G3" s="504"/>
      <c r="H3" s="504"/>
      <c r="I3" s="505"/>
    </row>
    <row r="4" spans="1:9" ht="66.75" customHeight="1">
      <c r="A4" s="506" t="s">
        <v>121</v>
      </c>
      <c r="B4" s="507"/>
      <c r="C4" s="507"/>
      <c r="D4" s="507"/>
      <c r="E4" s="507"/>
      <c r="F4" s="507"/>
      <c r="G4" s="507"/>
      <c r="H4" s="507"/>
      <c r="I4" s="508"/>
    </row>
    <row r="5" spans="1:9">
      <c r="A5" s="503"/>
      <c r="B5" s="504"/>
      <c r="C5" s="504"/>
      <c r="D5" s="504"/>
      <c r="E5" s="504"/>
      <c r="F5" s="504"/>
      <c r="G5" s="504"/>
      <c r="H5" s="504"/>
      <c r="I5" s="505"/>
    </row>
    <row r="6" spans="1:9">
      <c r="A6" s="500" t="s">
        <v>77</v>
      </c>
      <c r="B6" s="501"/>
      <c r="C6" s="501"/>
      <c r="D6" s="501"/>
      <c r="E6" s="501"/>
      <c r="F6" s="501"/>
      <c r="G6" s="501"/>
      <c r="H6" s="501"/>
      <c r="I6" s="502"/>
    </row>
    <row r="7" spans="1:9">
      <c r="A7" s="156" t="s">
        <v>123</v>
      </c>
      <c r="B7" s="96"/>
      <c r="C7" s="96"/>
      <c r="D7" s="96"/>
      <c r="E7" s="96"/>
      <c r="F7" s="96"/>
      <c r="G7" s="96"/>
      <c r="H7" s="96"/>
      <c r="I7" s="95"/>
    </row>
    <row r="8" spans="1:9" ht="15.75" thickBot="1">
      <c r="A8" s="176" t="s">
        <v>122</v>
      </c>
      <c r="B8" s="115"/>
      <c r="C8" s="115"/>
      <c r="D8" s="115"/>
      <c r="E8" s="115"/>
      <c r="F8" s="115"/>
      <c r="G8" s="115"/>
      <c r="H8" s="115"/>
      <c r="I8" s="116"/>
    </row>
  </sheetData>
  <mergeCells count="6">
    <mergeCell ref="A1:I1"/>
    <mergeCell ref="A2:I2"/>
    <mergeCell ref="A6:I6"/>
    <mergeCell ref="A5:I5"/>
    <mergeCell ref="A3:I3"/>
    <mergeCell ref="A4:I4"/>
  </mergeCells>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sheetPr codeName="Sheet31"/>
  <dimension ref="A1:G29"/>
  <sheetViews>
    <sheetView topLeftCell="B1" zoomScale="85" zoomScaleNormal="85" workbookViewId="0">
      <selection activeCell="D22" sqref="D22"/>
    </sheetView>
  </sheetViews>
  <sheetFormatPr defaultColWidth="9.140625" defaultRowHeight="15"/>
  <cols>
    <col min="1" max="1" width="10.7109375" style="31" hidden="1" customWidth="1"/>
    <col min="2" max="2" width="40.140625" style="31" bestFit="1" customWidth="1"/>
    <col min="3" max="3" width="35.85546875" style="31" bestFit="1" customWidth="1"/>
    <col min="4" max="4" width="35.5703125" style="31" bestFit="1" customWidth="1"/>
    <col min="5" max="5" width="29.140625" style="31" bestFit="1" customWidth="1"/>
    <col min="6" max="16384" width="9.140625" style="31"/>
  </cols>
  <sheetData>
    <row r="1" spans="2:6">
      <c r="B1" s="30" t="s">
        <v>298</v>
      </c>
    </row>
    <row r="2" spans="2:6" hidden="1">
      <c r="B2" s="31">
        <v>1</v>
      </c>
      <c r="C2" s="31">
        <v>2</v>
      </c>
      <c r="D2" s="31">
        <v>3</v>
      </c>
      <c r="E2" s="31">
        <v>4</v>
      </c>
      <c r="F2" s="31">
        <v>5</v>
      </c>
    </row>
    <row r="3" spans="2:6" ht="15.75" thickBot="1">
      <c r="B3" s="30" t="s">
        <v>181</v>
      </c>
    </row>
    <row r="4" spans="2:6" ht="15.75" thickBot="1">
      <c r="B4" s="394" t="s">
        <v>325</v>
      </c>
      <c r="C4" s="395"/>
      <c r="D4" s="395"/>
      <c r="E4" s="395"/>
      <c r="F4" s="396"/>
    </row>
    <row r="5" spans="2:6" ht="15.75" thickBot="1">
      <c r="B5" s="154"/>
      <c r="C5" s="123"/>
      <c r="D5" s="123"/>
      <c r="E5" s="123"/>
      <c r="F5" s="33"/>
    </row>
    <row r="6" spans="2:6">
      <c r="B6" s="120" t="s">
        <v>52</v>
      </c>
      <c r="C6" s="121" t="s">
        <v>337</v>
      </c>
      <c r="D6" s="121" t="s">
        <v>338</v>
      </c>
      <c r="E6" s="151" t="s">
        <v>339</v>
      </c>
      <c r="F6" s="509"/>
    </row>
    <row r="7" spans="2:6" ht="15" customHeight="1">
      <c r="B7" s="105" t="s">
        <v>239</v>
      </c>
      <c r="C7" s="106">
        <f>C8*Pre_Construction_Cost_6</f>
        <v>22500</v>
      </c>
      <c r="D7" s="144">
        <f>D8*Pre_Construction_Cost_6</f>
        <v>21332.5</v>
      </c>
      <c r="E7" s="144">
        <f>E8*Pre_Construction_Cost_5</f>
        <v>52500</v>
      </c>
      <c r="F7" s="510"/>
    </row>
    <row r="8" spans="2:6" ht="15" customHeight="1">
      <c r="B8" s="105" t="s">
        <v>240</v>
      </c>
      <c r="C8" s="106">
        <v>45000</v>
      </c>
      <c r="D8" s="144">
        <v>42665</v>
      </c>
      <c r="E8" s="144">
        <v>131250</v>
      </c>
      <c r="F8" s="510"/>
    </row>
    <row r="9" spans="2:6" ht="15" customHeight="1">
      <c r="B9" s="105" t="s">
        <v>179</v>
      </c>
      <c r="C9" s="109">
        <v>0.1</v>
      </c>
      <c r="D9" s="145">
        <v>0.04</v>
      </c>
      <c r="E9" s="145">
        <v>0.06</v>
      </c>
      <c r="F9" s="510"/>
    </row>
    <row r="10" spans="2:6" ht="15" customHeight="1">
      <c r="B10" s="105" t="s">
        <v>151</v>
      </c>
      <c r="C10" s="106">
        <f>C8*OM_Low_2</f>
        <v>599.99999999850002</v>
      </c>
      <c r="D10" s="144">
        <f>D8*OM_Low_5</f>
        <v>371.18549999999999</v>
      </c>
      <c r="E10" s="144">
        <f>E8*OM_Low_4</f>
        <v>748.125</v>
      </c>
      <c r="F10" s="510"/>
    </row>
    <row r="11" spans="2:6" ht="15" customHeight="1">
      <c r="B11" s="156" t="s">
        <v>152</v>
      </c>
      <c r="C11" s="106">
        <f>C8*OM_Low_2</f>
        <v>599.99999999850002</v>
      </c>
      <c r="D11" s="144">
        <f>D8*OM_Low_5</f>
        <v>371.18549999999999</v>
      </c>
      <c r="E11" s="144">
        <f>E8*OM_Low_4</f>
        <v>748.125</v>
      </c>
      <c r="F11" s="510"/>
    </row>
    <row r="12" spans="2:6" ht="15" customHeight="1">
      <c r="B12" s="105" t="s">
        <v>249</v>
      </c>
      <c r="C12" s="106">
        <f>SUM(C10:C11)</f>
        <v>1199.999999997</v>
      </c>
      <c r="D12" s="144">
        <f>SUM(D10:D11)</f>
        <v>742.37099999999998</v>
      </c>
      <c r="E12" s="144">
        <f>SUM(E10:E11)</f>
        <v>1496.25</v>
      </c>
      <c r="F12" s="510"/>
    </row>
    <row r="13" spans="2:6" ht="15" customHeight="1">
      <c r="B13" s="105" t="s">
        <v>177</v>
      </c>
      <c r="C13" s="511"/>
      <c r="D13" s="511"/>
      <c r="E13" s="511"/>
      <c r="F13" s="510"/>
    </row>
    <row r="14" spans="2:6" ht="15" customHeight="1">
      <c r="B14" s="512"/>
      <c r="C14" s="511"/>
      <c r="D14" s="511"/>
      <c r="E14" s="511"/>
      <c r="F14" s="510"/>
    </row>
    <row r="15" spans="2:6" ht="15.75" customHeight="1">
      <c r="B15" s="105" t="s">
        <v>405</v>
      </c>
      <c r="C15" s="96">
        <v>20</v>
      </c>
      <c r="D15" s="516"/>
      <c r="E15" s="517"/>
      <c r="F15" s="510"/>
    </row>
    <row r="16" spans="2:6" ht="15.75" customHeight="1" thickBot="1">
      <c r="B16" s="513" t="s">
        <v>340</v>
      </c>
      <c r="C16" s="514"/>
      <c r="D16" s="514"/>
      <c r="E16" s="514"/>
      <c r="F16" s="515"/>
    </row>
    <row r="17" spans="1:7" ht="15.75" thickBot="1">
      <c r="B17" s="32"/>
      <c r="C17" s="123"/>
      <c r="D17" s="142"/>
      <c r="E17" s="123"/>
      <c r="F17" s="33"/>
    </row>
    <row r="18" spans="1:7">
      <c r="B18" s="117" t="s">
        <v>241</v>
      </c>
      <c r="C18" s="118" t="s">
        <v>189</v>
      </c>
      <c r="D18" s="118" t="s">
        <v>190</v>
      </c>
      <c r="E18" s="118" t="s">
        <v>248</v>
      </c>
      <c r="F18" s="119" t="s">
        <v>19</v>
      </c>
    </row>
    <row r="19" spans="1:7">
      <c r="B19" s="9" t="s">
        <v>268</v>
      </c>
      <c r="C19" s="112">
        <f>(-PMT(Annual_rate,$C$15,(C$7+C$8))+Land_Cost_MD*Project_Acres_Developable*C$9*Annual_rate+C$12)*MD_Impervious</f>
        <v>2007.6280531572995</v>
      </c>
      <c r="D19" s="112">
        <f>(-PMT(Annual_rate,$C$15,(D$7+D$8))+Land_Cost_MD*Project_Acres_Developable*D$9*Annual_rate+D$12)*MD_Impervious</f>
        <v>1754.6343796019876</v>
      </c>
      <c r="E19" s="112">
        <f>(-PMT(Annual_rate,$C$15,(E$7+E$8))+Land_Cost_MD*Project_Acres_Developable*E$9*Annual_rate+E$12)*MD_Impervious</f>
        <v>4828.2665270842954</v>
      </c>
      <c r="F19" s="113">
        <f t="shared" ref="F19" si="0">AVERAGE(C19:E19)</f>
        <v>2863.5096532811945</v>
      </c>
      <c r="G19" s="309" t="str">
        <f ca="1">IF((-PMT(Annual_rate,C15,F22)+Annual_rate*F25+F28)=RSWM_MD,"","Check")</f>
        <v/>
      </c>
    </row>
    <row r="20" spans="1:7" ht="15.75" thickBot="1">
      <c r="B20" s="32"/>
      <c r="C20" s="123"/>
      <c r="D20" s="123"/>
      <c r="E20" s="123"/>
      <c r="F20" s="33"/>
    </row>
    <row r="21" spans="1:7">
      <c r="B21" s="117" t="s">
        <v>288</v>
      </c>
      <c r="C21" s="118" t="s">
        <v>189</v>
      </c>
      <c r="D21" s="118" t="s">
        <v>190</v>
      </c>
      <c r="E21" s="118" t="s">
        <v>248</v>
      </c>
      <c r="F21" s="119" t="s">
        <v>19</v>
      </c>
    </row>
    <row r="22" spans="1:7">
      <c r="A22" s="147" t="s">
        <v>268</v>
      </c>
      <c r="B22" s="9" t="s">
        <v>268</v>
      </c>
      <c r="C22" s="112">
        <f ca="1">(C$7+C$8)*INDIRECT(CONCATENATE($A22,"_impervious"))</f>
        <v>17107.17779304479</v>
      </c>
      <c r="D22" s="112">
        <f ca="1">(D$7+D$8)*INDIRECT(CONCATENATE($A22,"_impervious"))</f>
        <v>16219.505345339021</v>
      </c>
      <c r="E22" s="112">
        <f ca="1">(E$7+E$8)*INDIRECT(CONCATENATE($A22,"_impervious"))</f>
        <v>46569.539547733038</v>
      </c>
      <c r="F22" s="113">
        <f t="shared" ref="F22" ca="1" si="1">AVERAGE(C22:E22)</f>
        <v>26632.074228705616</v>
      </c>
    </row>
    <row r="23" spans="1:7" ht="15.75" thickBot="1">
      <c r="B23" s="32"/>
      <c r="C23" s="123"/>
      <c r="D23" s="123"/>
      <c r="E23" s="123"/>
      <c r="F23" s="33"/>
    </row>
    <row r="24" spans="1:7">
      <c r="B24" s="117" t="s">
        <v>475</v>
      </c>
      <c r="C24" s="118" t="s">
        <v>189</v>
      </c>
      <c r="D24" s="118" t="s">
        <v>190</v>
      </c>
      <c r="E24" s="118" t="s">
        <v>248</v>
      </c>
      <c r="F24" s="119" t="s">
        <v>19</v>
      </c>
    </row>
    <row r="25" spans="1:7">
      <c r="A25" s="147" t="s">
        <v>268</v>
      </c>
      <c r="B25" s="9" t="s">
        <v>268</v>
      </c>
      <c r="C25" s="112">
        <f ca="1">(INDIRECT(CONCATENATE("LAND_COST_",$A25))*Project_Acres_Developable*C$9)*INDIRECT(CONCATENATE($A25,"_impervious"))</f>
        <v>1267.1983550403547</v>
      </c>
      <c r="D25" s="112">
        <f ca="1">(INDIRECT(CONCATENATE("LAND_COST_",$A25))*Project_Acres_Developable*D$9)*INDIRECT(CONCATENATE($A25,"_impervious"))</f>
        <v>506.87934201614195</v>
      </c>
      <c r="E25" s="112">
        <f ca="1">(INDIRECT(CONCATENATE("LAND_COST_",$A25))*Project_Acres_Developable*E$9)*INDIRECT(CONCATENATE($A25,"_impervious"))</f>
        <v>760.31901302421295</v>
      </c>
      <c r="F25" s="113">
        <f t="shared" ref="F25" ca="1" si="2">AVERAGE(C25:E25)</f>
        <v>844.79890336023652</v>
      </c>
    </row>
    <row r="26" spans="1:7" ht="15.75" thickBot="1">
      <c r="B26" s="32"/>
      <c r="C26" s="123"/>
      <c r="D26" s="123"/>
      <c r="E26" s="123"/>
      <c r="F26" s="33"/>
    </row>
    <row r="27" spans="1:7">
      <c r="B27" s="117" t="s">
        <v>476</v>
      </c>
      <c r="C27" s="118" t="s">
        <v>189</v>
      </c>
      <c r="D27" s="118" t="s">
        <v>190</v>
      </c>
      <c r="E27" s="118" t="s">
        <v>248</v>
      </c>
      <c r="F27" s="119" t="s">
        <v>19</v>
      </c>
    </row>
    <row r="28" spans="1:7">
      <c r="A28" s="147" t="s">
        <v>268</v>
      </c>
      <c r="B28" s="9" t="s">
        <v>268</v>
      </c>
      <c r="C28" s="112">
        <f t="shared" ref="C28:E28" ca="1" si="3">C$12*INDIRECT(CONCATENATE($A28,"_impervious"))</f>
        <v>304.12760520892482</v>
      </c>
      <c r="D28" s="112">
        <f t="shared" ca="1" si="3"/>
        <v>188.14626200593264</v>
      </c>
      <c r="E28" s="112">
        <f t="shared" ca="1" si="3"/>
        <v>379.2091077458262</v>
      </c>
      <c r="F28" s="113">
        <f t="shared" ref="F28" ca="1" si="4">AVERAGE(C28:E28)</f>
        <v>290.49432498689453</v>
      </c>
    </row>
    <row r="29" spans="1:7" ht="15.75" thickBot="1">
      <c r="B29" s="114" t="s">
        <v>242</v>
      </c>
      <c r="C29" s="115"/>
      <c r="D29" s="115"/>
      <c r="E29" s="115"/>
      <c r="F29" s="116"/>
    </row>
  </sheetData>
  <mergeCells count="6">
    <mergeCell ref="F6:F15"/>
    <mergeCell ref="B4:F4"/>
    <mergeCell ref="C13:E13"/>
    <mergeCell ref="B14:E14"/>
    <mergeCell ref="B16:F16"/>
    <mergeCell ref="D15:E15"/>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sheetPr codeName="Sheet3">
    <tabColor rgb="FFFF0000"/>
  </sheetPr>
  <dimension ref="A1:AR95"/>
  <sheetViews>
    <sheetView tabSelected="1" zoomScale="85" zoomScaleNormal="85" workbookViewId="0">
      <pane xSplit="2" ySplit="3" topLeftCell="K4" activePane="bottomRight" state="frozen"/>
      <selection pane="topRight" activeCell="C1" sqref="C1"/>
      <selection pane="bottomLeft" activeCell="A3" sqref="A3"/>
      <selection pane="bottomRight" activeCell="W4" sqref="W4:W69"/>
    </sheetView>
  </sheetViews>
  <sheetFormatPr defaultColWidth="9.140625" defaultRowHeight="15"/>
  <cols>
    <col min="1" max="1" width="3.140625" style="15" bestFit="1" customWidth="1"/>
    <col min="2" max="2" width="50.5703125" style="3" bestFit="1" customWidth="1"/>
    <col min="3" max="3" width="16" style="102" hidden="1" customWidth="1"/>
    <col min="4" max="4" width="7.28515625" style="3" hidden="1" customWidth="1"/>
    <col min="5" max="5" width="8.7109375" style="3" hidden="1" customWidth="1"/>
    <col min="6" max="6" width="10.85546875" style="3" bestFit="1" customWidth="1"/>
    <col min="7" max="7" width="7.7109375" style="11" bestFit="1" customWidth="1"/>
    <col min="8" max="8" width="7.7109375" style="3" customWidth="1"/>
    <col min="9" max="13" width="7.7109375" style="3" bestFit="1" customWidth="1"/>
    <col min="14" max="14" width="23" style="3" bestFit="1" customWidth="1"/>
    <col min="15" max="15" width="10.85546875" style="3" bestFit="1" customWidth="1"/>
    <col min="16" max="16" width="8.7109375" style="11" bestFit="1" customWidth="1"/>
    <col min="17" max="22" width="8.7109375" style="3" bestFit="1" customWidth="1"/>
    <col min="23" max="23" width="10.5703125" style="104" bestFit="1" customWidth="1"/>
    <col min="24" max="24" width="20.42578125" style="3" bestFit="1" customWidth="1"/>
    <col min="25" max="25" width="10.85546875" style="3" bestFit="1" customWidth="1"/>
    <col min="26" max="26" width="7.7109375" style="11" bestFit="1" customWidth="1"/>
    <col min="27" max="32" width="7.7109375" style="3" bestFit="1" customWidth="1"/>
    <col min="33" max="33" width="23" style="3" bestFit="1" customWidth="1"/>
    <col min="34" max="34" width="10.85546875" style="81" bestFit="1" customWidth="1"/>
    <col min="35" max="41" width="6.7109375" style="3" bestFit="1" customWidth="1"/>
    <col min="42" max="42" width="23" style="3" bestFit="1" customWidth="1"/>
    <col min="43" max="43" width="124.5703125" style="3" bestFit="1" customWidth="1"/>
    <col min="44" max="44" width="255.7109375" style="3" bestFit="1" customWidth="1"/>
    <col min="45" max="16384" width="9.140625" style="3"/>
  </cols>
  <sheetData>
    <row r="1" spans="1:44" ht="15.75" thickBot="1">
      <c r="B1" s="3">
        <v>1</v>
      </c>
      <c r="C1" s="3">
        <v>2</v>
      </c>
      <c r="D1" s="3">
        <v>3</v>
      </c>
      <c r="E1" s="3">
        <v>4</v>
      </c>
      <c r="F1" s="3">
        <v>5</v>
      </c>
      <c r="G1" s="3">
        <v>6</v>
      </c>
      <c r="H1" s="3">
        <v>7</v>
      </c>
      <c r="I1" s="3">
        <v>8</v>
      </c>
      <c r="J1" s="3">
        <v>9</v>
      </c>
      <c r="K1" s="3">
        <v>10</v>
      </c>
      <c r="L1" s="3">
        <v>11</v>
      </c>
      <c r="M1" s="3">
        <v>12</v>
      </c>
      <c r="N1" s="3">
        <v>13</v>
      </c>
      <c r="O1" s="3">
        <v>14</v>
      </c>
      <c r="P1" s="3">
        <v>15</v>
      </c>
      <c r="Q1" s="3">
        <v>16</v>
      </c>
      <c r="R1" s="3">
        <v>17</v>
      </c>
      <c r="S1" s="3">
        <v>18</v>
      </c>
      <c r="T1" s="3">
        <v>19</v>
      </c>
      <c r="U1" s="3">
        <v>20</v>
      </c>
      <c r="V1" s="3">
        <v>21</v>
      </c>
      <c r="W1" s="3">
        <v>22</v>
      </c>
      <c r="X1" s="3">
        <v>23</v>
      </c>
      <c r="Y1" s="3">
        <v>24</v>
      </c>
      <c r="Z1" s="3">
        <v>25</v>
      </c>
      <c r="AA1" s="3">
        <v>26</v>
      </c>
      <c r="AB1" s="3">
        <v>27</v>
      </c>
      <c r="AC1" s="3">
        <v>28</v>
      </c>
      <c r="AD1" s="3">
        <v>29</v>
      </c>
      <c r="AE1" s="3">
        <v>30</v>
      </c>
      <c r="AF1" s="3">
        <v>31</v>
      </c>
      <c r="AG1" s="3">
        <v>32</v>
      </c>
      <c r="AH1" s="3">
        <v>33</v>
      </c>
      <c r="AI1" s="3">
        <v>34</v>
      </c>
      <c r="AJ1" s="3">
        <v>35</v>
      </c>
      <c r="AK1" s="3">
        <v>36</v>
      </c>
      <c r="AL1" s="3">
        <v>37</v>
      </c>
      <c r="AM1" s="3">
        <v>38</v>
      </c>
      <c r="AN1" s="3">
        <v>39</v>
      </c>
      <c r="AO1" s="3">
        <v>40</v>
      </c>
      <c r="AP1" s="3">
        <v>41</v>
      </c>
      <c r="AQ1" s="81"/>
    </row>
    <row r="2" spans="1:44">
      <c r="A2" s="330"/>
      <c r="B2" s="331" t="s">
        <v>55</v>
      </c>
      <c r="C2" s="168"/>
      <c r="D2" s="169"/>
      <c r="E2" s="82"/>
      <c r="F2" s="338" t="s">
        <v>426</v>
      </c>
      <c r="G2" s="336"/>
      <c r="H2" s="336"/>
      <c r="I2" s="336"/>
      <c r="J2" s="336"/>
      <c r="K2" s="336"/>
      <c r="L2" s="336"/>
      <c r="M2" s="336"/>
      <c r="N2" s="339"/>
      <c r="O2" s="338" t="s">
        <v>287</v>
      </c>
      <c r="P2" s="336"/>
      <c r="Q2" s="336"/>
      <c r="R2" s="336"/>
      <c r="S2" s="336"/>
      <c r="T2" s="336"/>
      <c r="U2" s="336"/>
      <c r="V2" s="336"/>
      <c r="W2" s="336"/>
      <c r="X2" s="337"/>
      <c r="Y2" s="335" t="s">
        <v>427</v>
      </c>
      <c r="Z2" s="336"/>
      <c r="AA2" s="336"/>
      <c r="AB2" s="336"/>
      <c r="AC2" s="336"/>
      <c r="AD2" s="336"/>
      <c r="AE2" s="336"/>
      <c r="AF2" s="336"/>
      <c r="AG2" s="337"/>
      <c r="AH2" s="335" t="s">
        <v>477</v>
      </c>
      <c r="AI2" s="336"/>
      <c r="AJ2" s="336"/>
      <c r="AK2" s="336"/>
      <c r="AL2" s="336"/>
      <c r="AM2" s="336"/>
      <c r="AN2" s="336"/>
      <c r="AO2" s="336"/>
      <c r="AP2" s="337"/>
      <c r="AQ2" s="333" t="s">
        <v>297</v>
      </c>
      <c r="AR2" s="328" t="s">
        <v>56</v>
      </c>
    </row>
    <row r="3" spans="1:44" s="205" customFormat="1">
      <c r="A3" s="330"/>
      <c r="B3" s="332"/>
      <c r="C3" s="83"/>
      <c r="D3" s="170"/>
      <c r="E3" s="84"/>
      <c r="F3" s="85" t="s">
        <v>57</v>
      </c>
      <c r="G3" s="207" t="s">
        <v>266</v>
      </c>
      <c r="H3" s="204" t="s">
        <v>267</v>
      </c>
      <c r="I3" s="204" t="s">
        <v>268</v>
      </c>
      <c r="J3" s="204" t="s">
        <v>269</v>
      </c>
      <c r="K3" s="204" t="s">
        <v>270</v>
      </c>
      <c r="L3" s="204" t="s">
        <v>271</v>
      </c>
      <c r="M3" s="204" t="s">
        <v>272</v>
      </c>
      <c r="N3" s="235" t="s">
        <v>35</v>
      </c>
      <c r="O3" s="85" t="s">
        <v>57</v>
      </c>
      <c r="P3" s="207" t="s">
        <v>266</v>
      </c>
      <c r="Q3" s="204" t="s">
        <v>267</v>
      </c>
      <c r="R3" s="204" t="s">
        <v>268</v>
      </c>
      <c r="S3" s="204" t="s">
        <v>269</v>
      </c>
      <c r="T3" s="204" t="s">
        <v>270</v>
      </c>
      <c r="U3" s="204" t="s">
        <v>271</v>
      </c>
      <c r="V3" s="204" t="s">
        <v>272</v>
      </c>
      <c r="W3" s="86" t="s">
        <v>404</v>
      </c>
      <c r="X3" s="206" t="s">
        <v>35</v>
      </c>
      <c r="Y3" s="229" t="s">
        <v>57</v>
      </c>
      <c r="Z3" s="259" t="s">
        <v>266</v>
      </c>
      <c r="AA3" s="258" t="s">
        <v>267</v>
      </c>
      <c r="AB3" s="258" t="s">
        <v>268</v>
      </c>
      <c r="AC3" s="258" t="s">
        <v>269</v>
      </c>
      <c r="AD3" s="258" t="s">
        <v>270</v>
      </c>
      <c r="AE3" s="258" t="s">
        <v>271</v>
      </c>
      <c r="AF3" s="258" t="s">
        <v>272</v>
      </c>
      <c r="AG3" s="260" t="s">
        <v>35</v>
      </c>
      <c r="AH3" s="229" t="s">
        <v>57</v>
      </c>
      <c r="AI3" s="259" t="s">
        <v>266</v>
      </c>
      <c r="AJ3" s="258" t="s">
        <v>267</v>
      </c>
      <c r="AK3" s="258" t="s">
        <v>268</v>
      </c>
      <c r="AL3" s="258" t="s">
        <v>269</v>
      </c>
      <c r="AM3" s="258" t="s">
        <v>270</v>
      </c>
      <c r="AN3" s="258" t="s">
        <v>271</v>
      </c>
      <c r="AO3" s="258" t="s">
        <v>272</v>
      </c>
      <c r="AP3" s="206" t="s">
        <v>35</v>
      </c>
      <c r="AQ3" s="334"/>
      <c r="AR3" s="329"/>
    </row>
    <row r="4" spans="1:44">
      <c r="A4" s="340">
        <v>1</v>
      </c>
      <c r="B4" s="319" t="s">
        <v>1</v>
      </c>
      <c r="C4" s="87" t="s">
        <v>274</v>
      </c>
      <c r="D4" s="171" t="s">
        <v>207</v>
      </c>
      <c r="E4" s="36" t="str">
        <f>CONCATENATE(B4," ",D4)</f>
        <v>Dry Detention and Extended Detention Basins Low</v>
      </c>
      <c r="F4" s="88">
        <f ca="1">INDEX(INDIRECT($C4),MATCH(F$3,'Dry Ext Detention'!$B$14:$B$21,0),MATCH($D4,'Dry Ext Detention'!$C$13:$E$13,0))</f>
        <v>336.12589464850993</v>
      </c>
      <c r="G4" s="6">
        <f ca="1">INDEX(INDIRECT($C4),MATCH(G$3,'Dry Ext Detention'!$B$14:$B$21,0),MATCH($D4,'Dry Ext Detention'!$C$13:$E$13,0))</f>
        <v>665.83196839240702</v>
      </c>
      <c r="H4" s="6">
        <f ca="1">INDEX(INDIRECT($C4),MATCH(H$3,'Dry Ext Detention'!$B$14:$B$21,0),MATCH($D4,'Dry Ext Detention'!$C$13:$E$13,0))</f>
        <v>315.82451553856362</v>
      </c>
      <c r="I4" s="6">
        <f ca="1">INDEX(INDIRECT($C4),MATCH(I$3,'Dry Ext Detention'!$B$14:$B$21,0),MATCH($D4,'Dry Ext Detention'!$C$13:$E$13,0))</f>
        <v>329.02974860283007</v>
      </c>
      <c r="J4" s="6">
        <f ca="1">INDEX(INDIRECT($C4),MATCH(J$3,'Dry Ext Detention'!$B$14:$B$21,0),MATCH($D4,'Dry Ext Detention'!$C$13:$E$13,0))</f>
        <v>350.77208842707148</v>
      </c>
      <c r="K4" s="6">
        <f ca="1">INDEX(INDIRECT($C4),MATCH(K$3,'Dry Ext Detention'!$B$14:$B$21,0),MATCH($D4,'Dry Ext Detention'!$C$13:$E$13,0))</f>
        <v>329.56812323843775</v>
      </c>
      <c r="L4" s="6">
        <f ca="1">INDEX(INDIRECT($C4),MATCH(L$3,'Dry Ext Detention'!$B$14:$B$21,0),MATCH($D4,'Dry Ext Detention'!$C$13:$E$13,0))</f>
        <v>339.78266337588229</v>
      </c>
      <c r="M4" s="6">
        <f ca="1">INDEX(INDIRECT($C4),MATCH(M$3,'Dry Ext Detention'!$B$14:$B$21,0),MATCH($D4,'Dry Ext Detention'!$C$13:$E$13,0))</f>
        <v>328.1957274346052</v>
      </c>
      <c r="N4" s="9" t="s">
        <v>250</v>
      </c>
      <c r="O4" s="88">
        <f ca="1">INDEX('Dry Ext Detention'!$C$24:$E$31,MATCH(O$3,'Dry Ext Detention'!$B$24:$B$31,0),MATCH($D4,'Dry Ext Detention'!$C$23:$E$23,0))</f>
        <v>1728.790451178802</v>
      </c>
      <c r="P4" s="6">
        <f ca="1">INDEX('Dry Ext Detention'!$C$24:$E$31,MATCH(P$3,'Dry Ext Detention'!$B$24:$B$31,0),MATCH($D4,'Dry Ext Detention'!$C$23:$E$23,0))</f>
        <v>3424.5619494745524</v>
      </c>
      <c r="Q4" s="6">
        <f ca="1">INDEX('Dry Ext Detention'!$C$24:$E$31,MATCH(Q$3,'Dry Ext Detention'!$B$24:$B$31,0),MATCH($D4,'Dry Ext Detention'!$C$23:$E$23,0))</f>
        <v>1624.3747221028345</v>
      </c>
      <c r="R4" s="6">
        <f ca="1">INDEX('Dry Ext Detention'!$C$24:$E$31,MATCH(R$3,'Dry Ext Detention'!$B$24:$B$31,0),MATCH($D4,'Dry Ext Detention'!$C$23:$E$23,0))</f>
        <v>1692.2929669942821</v>
      </c>
      <c r="S4" s="6">
        <f ca="1">INDEX('Dry Ext Detention'!$C$24:$E$31,MATCH(S$3,'Dry Ext Detention'!$B$24:$B$31,0),MATCH($D4,'Dry Ext Detention'!$C$23:$E$23,0))</f>
        <v>1804.1199641785938</v>
      </c>
      <c r="T4" s="6">
        <f ca="1">INDEX('Dry Ext Detention'!$C$24:$E$31,MATCH(T$3,'Dry Ext Detention'!$B$24:$B$31,0),MATCH($D4,'Dry Ext Detention'!$C$23:$E$23,0))</f>
        <v>1695.0619798671783</v>
      </c>
      <c r="U4" s="6">
        <f ca="1">INDEX('Dry Ext Detention'!$C$24:$E$31,MATCH(U$3,'Dry Ext Detention'!$B$24:$B$31,0),MATCH($D4,'Dry Ext Detention'!$C$23:$E$23,0))</f>
        <v>1747.5982459922941</v>
      </c>
      <c r="V4" s="6">
        <f ca="1">INDEX('Dry Ext Detention'!$C$24:$E$31,MATCH(V$3,'Dry Ext Detention'!$B$24:$B$31,0),MATCH($D4,'Dry Ext Detention'!$C$23:$E$23,0))</f>
        <v>1688.0033604668949</v>
      </c>
      <c r="W4" s="90">
        <f>'Dry Ext Detention'!C3</f>
        <v>20</v>
      </c>
      <c r="X4" s="89" t="s">
        <v>285</v>
      </c>
      <c r="Y4" s="230">
        <f ca="1">INDEX('Dry Ext Detention'!$C$34:$E$41,MATCH(Y$3,'Dry Ext Detention'!$B$34:$B$41,0),MATCH($D4,'Dry Ext Detention'!$C$43:$E$43,0))</f>
        <v>1294.5278735243085</v>
      </c>
      <c r="Z4" s="230">
        <f ca="1">INDEX('Dry Ext Detention'!$C$34:$E$41,MATCH(Z$3,'Dry Ext Detention'!$B$34:$B$41,0),MATCH($D4,'Dry Ext Detention'!$C$43:$E$43,0))</f>
        <v>2564.3309720867064</v>
      </c>
      <c r="AA4" s="230">
        <f ca="1">INDEX('Dry Ext Detention'!$C$34:$E$41,MATCH(AA$3,'Dry Ext Detention'!$B$34:$B$41,0),MATCH($D4,'Dry Ext Detention'!$C$43:$E$43,0))</f>
        <v>1216.3407967556723</v>
      </c>
      <c r="AB4" s="230">
        <f ca="1">INDEX('Dry Ext Detention'!$C$34:$E$41,MATCH(AB$3,'Dry Ext Detention'!$B$34:$B$41,0),MATCH($D4,'Dry Ext Detention'!$C$43:$E$43,0))</f>
        <v>1267.1983550403547</v>
      </c>
      <c r="AC4" s="230">
        <f ca="1">INDEX('Dry Ext Detention'!$C$34:$E$41,MATCH(AC$3,'Dry Ext Detention'!$B$34:$B$41,0),MATCH($D4,'Dry Ext Detention'!$C$43:$E$43,0))</f>
        <v>1350.9350304534489</v>
      </c>
      <c r="AD4" s="230">
        <f ca="1">INDEX('Dry Ext Detention'!$C$34:$E$41,MATCH(AD$3,'Dry Ext Detention'!$B$34:$B$41,0),MATCH($D4,'Dry Ext Detention'!$C$43:$E$43,0))</f>
        <v>1269.2718072298135</v>
      </c>
      <c r="AE4" s="230">
        <f ca="1">INDEX('Dry Ext Detention'!$C$34:$E$41,MATCH(AE$3,'Dry Ext Detention'!$B$34:$B$41,0),MATCH($D4,'Dry Ext Detention'!$C$43:$E$43,0))</f>
        <v>1308.6112545430954</v>
      </c>
      <c r="AF4" s="230">
        <f ca="1">INDEX('Dry Ext Detention'!$C$34:$E$41,MATCH(AF$3,'Dry Ext Detention'!$B$34:$B$41,0),MATCH($D4,'Dry Ext Detention'!$C$43:$E$43,0))</f>
        <v>1263.9862738928866</v>
      </c>
      <c r="AG4" s="89" t="s">
        <v>285</v>
      </c>
      <c r="AH4" s="230">
        <f ca="1">INDEX('Dry Ext Detention'!$C$44:$E$51,MATCH(AH$3,'Dry Ext Detention'!$B$44:$B$51,0),MATCH($D4,'Dry Ext Detention'!$C$43:$E$43,0))</f>
        <v>82.323354818038197</v>
      </c>
      <c r="AI4" s="230">
        <f ca="1">INDEX('Dry Ext Detention'!$C$44:$E$51,MATCH(AI$3,'Dry Ext Detention'!$B$44:$B$51,0),MATCH($D4,'Dry Ext Detention'!$C$43:$E$43,0))</f>
        <v>163.07437854640727</v>
      </c>
      <c r="AJ4" s="230">
        <f ca="1">INDEX('Dry Ext Detention'!$C$44:$E$51,MATCH(AJ$3,'Dry Ext Detention'!$B$44:$B$51,0),MATCH($D4,'Dry Ext Detention'!$C$43:$E$43,0))</f>
        <v>77.351177242992136</v>
      </c>
      <c r="AK4" s="230">
        <f ca="1">INDEX('Dry Ext Detention'!$C$44:$E$51,MATCH(AK$3,'Dry Ext Detention'!$B$44:$B$51,0),MATCH($D4,'Dry Ext Detention'!$C$43:$E$43,0))</f>
        <v>80.585379380680109</v>
      </c>
      <c r="AL4" s="230">
        <f ca="1">INDEX('Dry Ext Detention'!$C$44:$E$51,MATCH(AL$3,'Dry Ext Detention'!$B$44:$B$51,0),MATCH($D4,'Dry Ext Detention'!$C$43:$E$43,0))</f>
        <v>85.910474484694959</v>
      </c>
      <c r="AM4" s="230">
        <f ca="1">INDEX('Dry Ext Detention'!$C$44:$E$51,MATCH(AM$3,'Dry Ext Detention'!$B$44:$B$51,0),MATCH($D4,'Dry Ext Detention'!$C$43:$E$43,0))</f>
        <v>80.717237136532304</v>
      </c>
      <c r="AN4" s="230">
        <f ca="1">INDEX('Dry Ext Detention'!$C$44:$E$51,MATCH(AN$3,'Dry Ext Detention'!$B$44:$B$51,0),MATCH($D4,'Dry Ext Detention'!$C$43:$E$43,0))</f>
        <v>83.218964094871154</v>
      </c>
      <c r="AO4" s="230">
        <f ca="1">INDEX('Dry Ext Detention'!$C$44:$E$51,MATCH(AO$3,'Dry Ext Detention'!$B$44:$B$51,0),MATCH($D4,'Dry Ext Detention'!$C$43:$E$43,0))</f>
        <v>80.381112403185483</v>
      </c>
      <c r="AP4" s="89" t="s">
        <v>250</v>
      </c>
      <c r="AQ4" s="343" t="s">
        <v>283</v>
      </c>
      <c r="AR4" s="325" t="s">
        <v>61</v>
      </c>
    </row>
    <row r="5" spans="1:44">
      <c r="A5" s="341"/>
      <c r="B5" s="316"/>
      <c r="C5" s="87" t="s">
        <v>274</v>
      </c>
      <c r="D5" s="171" t="s">
        <v>18</v>
      </c>
      <c r="E5" s="36" t="str">
        <f>CONCATENATE(B4," ",D5)</f>
        <v>Dry Detention and Extended Detention Basins Median</v>
      </c>
      <c r="F5" s="88">
        <f ca="1">INDEX(INDIRECT($C5),MATCH(F$3,'Dry Ext Detention'!$B$14:$B$21,0),MATCH($D5,'Dry Ext Detention'!$C$13:$E$13,0))</f>
        <v>655.50907306508236</v>
      </c>
      <c r="G5" s="6">
        <f ca="1">INDEX(INDIRECT($C5),MATCH(G$3,'Dry Ext Detention'!$B$14:$B$21,0),MATCH($D5,'Dry Ext Detention'!$C$13:$E$13,0))</f>
        <v>1298.4982810515544</v>
      </c>
      <c r="H5" s="6">
        <f ca="1">INDEX(INDIRECT($C5),MATCH(H$3,'Dry Ext Detention'!$B$14:$B$21,0),MATCH($D5,'Dry Ext Detention'!$C$13:$E$13,0))</f>
        <v>615.91754377746304</v>
      </c>
      <c r="I5" s="6">
        <f ca="1">INDEX(INDIRECT($C5),MATCH(I$3,'Dry Ext Detention'!$B$14:$B$21,0),MATCH($D5,'Dry Ext Detention'!$C$13:$E$13,0))</f>
        <v>641.67024603391212</v>
      </c>
      <c r="J5" s="6">
        <f ca="1">INDEX(INDIRECT($C5),MATCH(J$3,'Dry Ext Detention'!$B$14:$B$21,0),MATCH($D5,'Dry Ext Detention'!$C$13:$E$13,0))</f>
        <v>684.07192127335861</v>
      </c>
      <c r="K5" s="6">
        <f ca="1">INDEX(INDIRECT($C5),MATCH(K$3,'Dry Ext Detention'!$B$14:$B$21,0),MATCH($D5,'Dry Ext Detention'!$C$13:$E$13,0))</f>
        <v>642.72017840736999</v>
      </c>
      <c r="L5" s="6">
        <f ca="1">INDEX(INDIRECT($C5),MATCH(L$3,'Dry Ext Detention'!$B$14:$B$21,0),MATCH($D5,'Dry Ext Detention'!$C$13:$E$13,0))</f>
        <v>662.64046376439126</v>
      </c>
      <c r="M5" s="6">
        <f ca="1">INDEX(INDIRECT($C5),MATCH(M$3,'Dry Ext Detention'!$B$14:$B$21,0),MATCH($D5,'Dry Ext Detention'!$C$13:$E$13,0))</f>
        <v>640.04374700005633</v>
      </c>
      <c r="N5" s="9" t="s">
        <v>250</v>
      </c>
      <c r="O5" s="281">
        <f ca="1">INDEX('Dry Ext Detention'!$C$24:$E$31,MATCH(O$3,'Dry Ext Detention'!$B$24:$B$31,0),MATCH($D5,'Dry Ext Detention'!$C$23:$E$23,0))</f>
        <v>4177.9102570154382</v>
      </c>
      <c r="P5" s="6">
        <f ca="1">INDEX('Dry Ext Detention'!$C$24:$E$31,MATCH(P$3,'Dry Ext Detention'!$B$24:$B$31,0),MATCH($D5,'Dry Ext Detention'!$C$23:$E$23,0))</f>
        <v>8276.0247112301677</v>
      </c>
      <c r="Q5" s="6">
        <f ca="1">INDEX('Dry Ext Detention'!$C$24:$E$31,MATCH(Q$3,'Dry Ext Detention'!$B$24:$B$31,0),MATCH($D5,'Dry Ext Detention'!$C$23:$E$23,0))</f>
        <v>3925.5722450818498</v>
      </c>
      <c r="R5" s="6">
        <f ca="1">INDEX('Dry Ext Detention'!$C$24:$E$31,MATCH(R$3,'Dry Ext Detention'!$B$24:$B$31,0),MATCH($D5,'Dry Ext Detention'!$C$23:$E$23,0))</f>
        <v>4089.7080035695149</v>
      </c>
      <c r="S5" s="6">
        <f ca="1">INDEX('Dry Ext Detention'!$C$24:$E$31,MATCH(S$3,'Dry Ext Detention'!$B$24:$B$31,0),MATCH($D5,'Dry Ext Detention'!$C$23:$E$23,0))</f>
        <v>4359.9565800982682</v>
      </c>
      <c r="T5" s="6">
        <f ca="1">INDEX('Dry Ext Detention'!$C$24:$E$31,MATCH(T$3,'Dry Ext Detention'!$B$24:$B$31,0),MATCH($D5,'Dry Ext Detention'!$C$23:$E$23,0))</f>
        <v>4096.3997846790135</v>
      </c>
      <c r="U5" s="6">
        <f ca="1">INDEX('Dry Ext Detention'!$C$24:$E$31,MATCH(U$3,'Dry Ext Detention'!$B$24:$B$31,0),MATCH($D5,'Dry Ext Detention'!$C$23:$E$23,0))</f>
        <v>4223.3624278147099</v>
      </c>
      <c r="V5" s="6">
        <f ca="1">INDEX('Dry Ext Detention'!$C$24:$E$31,MATCH(V$3,'Dry Ext Detention'!$B$24:$B$31,0),MATCH($D5,'Dry Ext Detention'!$C$23:$E$23,0))</f>
        <v>4079.3414544616626</v>
      </c>
      <c r="W5" s="90">
        <f>W4</f>
        <v>20</v>
      </c>
      <c r="X5" s="89" t="s">
        <v>285</v>
      </c>
      <c r="Y5" s="230">
        <f ca="1">INDEX('Dry Ext Detention'!$C$34:$E$41,MATCH(Y$3,'Dry Ext Detention'!$B$34:$B$41,0),MATCH($D5,'Dry Ext Detention'!$C$43:$E$43,0))</f>
        <v>1294.5278735243085</v>
      </c>
      <c r="Z5" s="230">
        <f ca="1">INDEX('Dry Ext Detention'!$C$34:$E$41,MATCH(Z$3,'Dry Ext Detention'!$B$34:$B$41,0),MATCH($D5,'Dry Ext Detention'!$C$43:$E$43,0))</f>
        <v>2564.3309720867064</v>
      </c>
      <c r="AA5" s="230">
        <f ca="1">INDEX('Dry Ext Detention'!$C$34:$E$41,MATCH(AA$3,'Dry Ext Detention'!$B$34:$B$41,0),MATCH($D5,'Dry Ext Detention'!$C$43:$E$43,0))</f>
        <v>1216.3407967556723</v>
      </c>
      <c r="AB5" s="230">
        <f ca="1">INDEX('Dry Ext Detention'!$C$34:$E$41,MATCH(AB$3,'Dry Ext Detention'!$B$34:$B$41,0),MATCH($D5,'Dry Ext Detention'!$C$43:$E$43,0))</f>
        <v>1267.1983550403547</v>
      </c>
      <c r="AC5" s="230">
        <f ca="1">INDEX('Dry Ext Detention'!$C$34:$E$41,MATCH(AC$3,'Dry Ext Detention'!$B$34:$B$41,0),MATCH($D5,'Dry Ext Detention'!$C$43:$E$43,0))</f>
        <v>1350.9350304534489</v>
      </c>
      <c r="AD5" s="230">
        <f ca="1">INDEX('Dry Ext Detention'!$C$34:$E$41,MATCH(AD$3,'Dry Ext Detention'!$B$34:$B$41,0),MATCH($D5,'Dry Ext Detention'!$C$43:$E$43,0))</f>
        <v>1269.2718072298135</v>
      </c>
      <c r="AE5" s="230">
        <f ca="1">INDEX('Dry Ext Detention'!$C$34:$E$41,MATCH(AE$3,'Dry Ext Detention'!$B$34:$B$41,0),MATCH($D5,'Dry Ext Detention'!$C$43:$E$43,0))</f>
        <v>1308.6112545430954</v>
      </c>
      <c r="AF5" s="230">
        <f ca="1">INDEX('Dry Ext Detention'!$C$34:$E$41,MATCH(AF$3,'Dry Ext Detention'!$B$34:$B$41,0),MATCH($D5,'Dry Ext Detention'!$C$43:$E$43,0))</f>
        <v>1263.9862738928866</v>
      </c>
      <c r="AG5" s="89" t="s">
        <v>285</v>
      </c>
      <c r="AH5" s="230">
        <f ca="1">INDEX('Dry Ext Detention'!$C$44:$E$51,MATCH(AH$3,'Dry Ext Detention'!$B$44:$B$51,0),MATCH($D5,'Dry Ext Detention'!$C$43:$E$43,0))</f>
        <v>170.52694926593622</v>
      </c>
      <c r="AI5" s="230">
        <f ca="1">INDEX('Dry Ext Detention'!$C$44:$E$51,MATCH(AI$3,'Dry Ext Detention'!$B$44:$B$51,0),MATCH($D5,'Dry Ext Detention'!$C$43:$E$43,0))</f>
        <v>337.79692698898646</v>
      </c>
      <c r="AJ5" s="230">
        <f ca="1">INDEX('Dry Ext Detention'!$C$44:$E$51,MATCH(AJ$3,'Dry Ext Detention'!$B$44:$B$51,0),MATCH($D5,'Dry Ext Detention'!$C$43:$E$43,0))</f>
        <v>160.22743857476939</v>
      </c>
      <c r="AK5" s="230">
        <f ca="1">INDEX('Dry Ext Detention'!$C$44:$E$51,MATCH(AK$3,'Dry Ext Detention'!$B$44:$B$51,0),MATCH($D5,'Dry Ext Detention'!$C$43:$E$43,0))</f>
        <v>166.92685728855162</v>
      </c>
      <c r="AL5" s="230">
        <f ca="1">INDEX('Dry Ext Detention'!$C$44:$E$51,MATCH(AL$3,'Dry Ext Detention'!$B$44:$B$51,0),MATCH($D5,'Dry Ext Detention'!$C$43:$E$43,0))</f>
        <v>177.95741143258238</v>
      </c>
      <c r="AM5" s="230">
        <f ca="1">INDEX('Dry Ext Detention'!$C$44:$E$51,MATCH(AM$3,'Dry Ext Detention'!$B$44:$B$51,0),MATCH($D5,'Dry Ext Detention'!$C$43:$E$43,0))</f>
        <v>167.19999121138832</v>
      </c>
      <c r="AN5" s="230">
        <f ca="1">INDEX('Dry Ext Detention'!$C$44:$E$51,MATCH(AN$3,'Dry Ext Detention'!$B$44:$B$51,0),MATCH($D5,'Dry Ext Detention'!$C$43:$E$43,0))</f>
        <v>172.38213991080451</v>
      </c>
      <c r="AO5" s="230">
        <f ca="1">INDEX('Dry Ext Detention'!$C$44:$E$51,MATCH(AO$3,'Dry Ext Detention'!$B$44:$B$51,0),MATCH($D5,'Dry Ext Detention'!$C$43:$E$43,0))</f>
        <v>166.5037328351699</v>
      </c>
      <c r="AP5" s="89" t="s">
        <v>250</v>
      </c>
      <c r="AQ5" s="344"/>
      <c r="AR5" s="326"/>
    </row>
    <row r="6" spans="1:44">
      <c r="A6" s="342"/>
      <c r="B6" s="320"/>
      <c r="C6" s="87" t="s">
        <v>274</v>
      </c>
      <c r="D6" s="171" t="s">
        <v>208</v>
      </c>
      <c r="E6" s="36" t="str">
        <f>CONCATENATE(B4," ",D6)</f>
        <v>Dry Detention and Extended Detention Basins High</v>
      </c>
      <c r="F6" s="88">
        <f ca="1">INDEX(INDIRECT($C6),MATCH(F$3,'Dry Ext Detention'!$B$14:$B$21,0),MATCH($D6,'Dry Ext Detention'!$C$13:$E$13,0))</f>
        <v>1153.6700178672686</v>
      </c>
      <c r="G6" s="6">
        <f ca="1">INDEX(INDIRECT($C6),MATCH(G$3,'Dry Ext Detention'!$B$14:$B$21,0),MATCH($D6,'Dry Ext Detention'!$C$13:$E$13,0))</f>
        <v>2285.3055688408926</v>
      </c>
      <c r="H6" s="6">
        <f ca="1">INDEX(INDIRECT($C6),MATCH(H$3,'Dry Ext Detention'!$B$14:$B$21,0),MATCH($D6,'Dry Ext Detention'!$C$13:$E$13,0))</f>
        <v>1083.9904936967384</v>
      </c>
      <c r="I6" s="6">
        <f ca="1">INDEX(INDIRECT($C6),MATCH(I$3,'Dry Ext Detention'!$B$14:$B$21,0),MATCH($D6,'Dry Ext Detention'!$C$13:$E$13,0))</f>
        <v>1129.3142301530579</v>
      </c>
      <c r="J6" s="6">
        <f ca="1">INDEX(INDIRECT($C6),MATCH(J$3,'Dry Ext Detention'!$B$14:$B$21,0),MATCH($D6,'Dry Ext Detention'!$C$13:$E$13,0))</f>
        <v>1203.939499948885</v>
      </c>
      <c r="K6" s="6">
        <f ca="1">INDEX(INDIRECT($C6),MATCH(K$3,'Dry Ext Detention'!$B$14:$B$21,0),MATCH($D6,'Dry Ext Detention'!$C$13:$E$13,0))</f>
        <v>1131.1620695649256</v>
      </c>
      <c r="L6" s="6">
        <f ca="1">INDEX(INDIRECT($C6),MATCH(L$3,'Dry Ext Detention'!$B$14:$B$21,0),MATCH($D6,'Dry Ext Detention'!$C$13:$E$13,0))</f>
        <v>1166.2209831758346</v>
      </c>
      <c r="M6" s="6">
        <f ca="1">INDEX(INDIRECT($C6),MATCH(M$3,'Dry Ext Detention'!$B$14:$B$21,0),MATCH($D6,'Dry Ext Detention'!$C$13:$E$13,0))</f>
        <v>1126.4516562443926</v>
      </c>
      <c r="N6" s="9" t="s">
        <v>250</v>
      </c>
      <c r="O6" s="88">
        <f ca="1">INDEX('Dry Ext Detention'!$C$24:$E$31,MATCH(O$3,'Dry Ext Detention'!$B$24:$B$31,0),MATCH($D6,'Dry Ext Detention'!$C$23:$E$23,0))</f>
        <v>8170.5929656902899</v>
      </c>
      <c r="P6" s="6">
        <f ca="1">INDEX('Dry Ext Detention'!$C$24:$E$31,MATCH(P$3,'Dry Ext Detention'!$B$24:$B$31,0),MATCH($D6,'Dry Ext Detention'!$C$23:$E$23,0))</f>
        <v>16185.132070730921</v>
      </c>
      <c r="Q6" s="6">
        <f ca="1">INDEX('Dry Ext Detention'!$C$24:$E$31,MATCH(Q$3,'Dry Ext Detention'!$B$24:$B$31,0),MATCH($D6,'Dry Ext Detention'!$C$23:$E$23,0))</f>
        <v>7677.1043413669686</v>
      </c>
      <c r="R6" s="6">
        <f ca="1">INDEX('Dry Ext Detention'!$C$24:$E$31,MATCH(R$3,'Dry Ext Detention'!$B$24:$B$31,0),MATCH($D6,'Dry Ext Detention'!$C$23:$E$23,0))</f>
        <v>7998.0989035325001</v>
      </c>
      <c r="S6" s="6">
        <f ca="1">INDEX('Dry Ext Detention'!$C$24:$E$31,MATCH(S$3,'Dry Ext Detention'!$B$24:$B$31,0),MATCH($D6,'Dry Ext Detention'!$C$23:$E$23,0))</f>
        <v>8526.6145926059726</v>
      </c>
      <c r="T6" s="6">
        <f ca="1">INDEX('Dry Ext Detention'!$C$24:$E$31,MATCH(T$3,'Dry Ext Detention'!$B$24:$B$31,0),MATCH($D6,'Dry Ext Detention'!$C$23:$E$23,0))</f>
        <v>8011.1857858008307</v>
      </c>
      <c r="U6" s="6">
        <f ca="1">INDEX('Dry Ext Detention'!$C$24:$E$31,MATCH(U$3,'Dry Ext Detention'!$B$24:$B$31,0),MATCH($D6,'Dry Ext Detention'!$C$23:$E$23,0))</f>
        <v>8259.4821864159603</v>
      </c>
      <c r="V6" s="6">
        <f ca="1">INDEX('Dry Ext Detention'!$C$24:$E$31,MATCH(V$3,'Dry Ext Detention'!$B$24:$B$31,0),MATCH($D6,'Dry Ext Detention'!$C$23:$E$23,0))</f>
        <v>7977.8254060161589</v>
      </c>
      <c r="W6" s="90">
        <f>W4</f>
        <v>20</v>
      </c>
      <c r="X6" s="89" t="s">
        <v>285</v>
      </c>
      <c r="Y6" s="230">
        <f ca="1">INDEX('Dry Ext Detention'!$C$34:$E$41,MATCH(Y$3,'Dry Ext Detention'!$B$34:$B$41,0),MATCH($D6,'Dry Ext Detention'!$C$43:$E$43,0))</f>
        <v>1294.5278735243085</v>
      </c>
      <c r="Z6" s="230">
        <f ca="1">INDEX('Dry Ext Detention'!$C$34:$E$41,MATCH(Z$3,'Dry Ext Detention'!$B$34:$B$41,0),MATCH($D6,'Dry Ext Detention'!$C$43:$E$43,0))</f>
        <v>2564.3309720867064</v>
      </c>
      <c r="AA6" s="230">
        <f ca="1">INDEX('Dry Ext Detention'!$C$34:$E$41,MATCH(AA$3,'Dry Ext Detention'!$B$34:$B$41,0),MATCH($D6,'Dry Ext Detention'!$C$43:$E$43,0))</f>
        <v>1216.3407967556723</v>
      </c>
      <c r="AB6" s="230">
        <f ca="1">INDEX('Dry Ext Detention'!$C$34:$E$41,MATCH(AB$3,'Dry Ext Detention'!$B$34:$B$41,0),MATCH($D6,'Dry Ext Detention'!$C$43:$E$43,0))</f>
        <v>1267.1983550403547</v>
      </c>
      <c r="AC6" s="230">
        <f ca="1">INDEX('Dry Ext Detention'!$C$34:$E$41,MATCH(AC$3,'Dry Ext Detention'!$B$34:$B$41,0),MATCH($D6,'Dry Ext Detention'!$C$43:$E$43,0))</f>
        <v>1350.9350304534489</v>
      </c>
      <c r="AD6" s="230">
        <f ca="1">INDEX('Dry Ext Detention'!$C$34:$E$41,MATCH(AD$3,'Dry Ext Detention'!$B$34:$B$41,0),MATCH($D6,'Dry Ext Detention'!$C$43:$E$43,0))</f>
        <v>1269.2718072298135</v>
      </c>
      <c r="AE6" s="230">
        <f ca="1">INDEX('Dry Ext Detention'!$C$34:$E$41,MATCH(AE$3,'Dry Ext Detention'!$B$34:$B$41,0),MATCH($D6,'Dry Ext Detention'!$C$43:$E$43,0))</f>
        <v>1308.6112545430954</v>
      </c>
      <c r="AF6" s="230">
        <f ca="1">INDEX('Dry Ext Detention'!$C$34:$E$41,MATCH(AF$3,'Dry Ext Detention'!$B$34:$B$41,0),MATCH($D6,'Dry Ext Detention'!$C$43:$E$43,0))</f>
        <v>1263.9862738928866</v>
      </c>
      <c r="AG6" s="89" t="s">
        <v>285</v>
      </c>
      <c r="AH6" s="230">
        <f ca="1">INDEX('Dry Ext Detention'!$C$44:$E$51,MATCH(AH$3,'Dry Ext Detention'!$B$44:$B$51,0),MATCH($D6,'Dry Ext Detention'!$C$43:$E$43,0))</f>
        <v>291.80689163179608</v>
      </c>
      <c r="AI6" s="230">
        <f ca="1">INDEX('Dry Ext Detention'!$C$44:$E$51,MATCH(AI$3,'Dry Ext Detention'!$B$44:$B$51,0),MATCH($D6,'Dry Ext Detention'!$C$43:$E$43,0))</f>
        <v>578.04043109753286</v>
      </c>
      <c r="AJ6" s="230">
        <f ca="1">INDEX('Dry Ext Detention'!$C$44:$E$51,MATCH(AJ$3,'Dry Ext Detention'!$B$44:$B$51,0),MATCH($D6,'Dry Ext Detention'!$C$43:$E$43,0))</f>
        <v>274.18229790596314</v>
      </c>
      <c r="AK6" s="230">
        <f ca="1">INDEX('Dry Ext Detention'!$C$44:$E$51,MATCH(AK$3,'Dry Ext Detention'!$B$44:$B$51,0),MATCH($D6,'Dry Ext Detention'!$C$43:$E$43,0))</f>
        <v>285.64638941187496</v>
      </c>
      <c r="AL6" s="230">
        <f ca="1">INDEX('Dry Ext Detention'!$C$44:$E$51,MATCH(AL$3,'Dry Ext Detention'!$B$44:$B$51,0),MATCH($D6,'Dry Ext Detention'!$C$43:$E$43,0))</f>
        <v>304.52194973592759</v>
      </c>
      <c r="AM6" s="230">
        <f ca="1">INDEX('Dry Ext Detention'!$C$44:$E$51,MATCH(AM$3,'Dry Ext Detention'!$B$44:$B$51,0),MATCH($D6,'Dry Ext Detention'!$C$43:$E$43,0))</f>
        <v>286.1137780643154</v>
      </c>
      <c r="AN6" s="230">
        <f ca="1">INDEX('Dry Ext Detention'!$C$44:$E$51,MATCH(AN$3,'Dry Ext Detention'!$B$44:$B$51,0),MATCH($D6,'Dry Ext Detention'!$C$43:$E$43,0))</f>
        <v>294.98150665771288</v>
      </c>
      <c r="AO6" s="230">
        <f ca="1">INDEX('Dry Ext Detention'!$C$44:$E$51,MATCH(AO$3,'Dry Ext Detention'!$B$44:$B$51,0),MATCH($D6,'Dry Ext Detention'!$C$43:$E$43,0))</f>
        <v>284.92233592914852</v>
      </c>
      <c r="AP6" s="89" t="s">
        <v>250</v>
      </c>
      <c r="AQ6" s="345"/>
      <c r="AR6" s="327"/>
    </row>
    <row r="7" spans="1:44">
      <c r="A7" s="340">
        <v>2</v>
      </c>
      <c r="B7" s="319" t="s">
        <v>2</v>
      </c>
      <c r="C7" s="87"/>
      <c r="D7" s="171" t="s">
        <v>207</v>
      </c>
      <c r="E7" s="36" t="str">
        <f>CONCATENATE(B7," ",D7)</f>
        <v>Dry Detention Ponds/Hydrodynamic Structures Low</v>
      </c>
      <c r="F7" s="88">
        <f>DDPHS_Watershed</f>
        <v>1643.5101909788293</v>
      </c>
      <c r="G7" s="6">
        <f>DDPHS_DC</f>
        <v>3255.6302354412073</v>
      </c>
      <c r="H7" s="6">
        <f>DDPHS_DE</f>
        <v>1544.2452310654846</v>
      </c>
      <c r="I7" s="6">
        <f>DDPHS_MD</f>
        <v>1608.8131071527091</v>
      </c>
      <c r="J7" s="6">
        <f>DDPHS_NY</f>
        <v>1715.1237414887896</v>
      </c>
      <c r="K7" s="6">
        <f>DDPHS_PA</f>
        <v>1611.445526178655</v>
      </c>
      <c r="L7" s="6">
        <f>DDPHS_VA</f>
        <v>1661.3902078569513</v>
      </c>
      <c r="M7" s="6">
        <f>DDPHS_WV</f>
        <v>1604.7351045016401</v>
      </c>
      <c r="N7" s="9" t="s">
        <v>250</v>
      </c>
      <c r="O7" s="91">
        <f ca="1">VLOOKUP(O$3,'Dry Detention-Hydro Structures'!$B$28:$E$36,'Dry Detention-Hydro Structures'!$E$1,FALSE)</f>
        <v>10485.675775546897</v>
      </c>
      <c r="P7" s="92">
        <f ca="1">VLOOKUP(P$3,'Dry Detention-Hydro Structures'!$B$28:$E$36,'Dry Detention-Hydro Structures'!$E$1,FALSE)</f>
        <v>20771.08087390232</v>
      </c>
      <c r="Q7" s="92">
        <f ca="1">VLOOKUP(Q$3,'Dry Detention-Hydro Structures'!$B$28:$E$36,'Dry Detention-Hydro Structures'!$E$1,FALSE)</f>
        <v>9852.3604537209449</v>
      </c>
      <c r="R7" s="92">
        <f ca="1">VLOOKUP(R$3,'Dry Detention-Hydro Structures'!$B$28:$E$36,'Dry Detention-Hydro Structures'!$E$1,FALSE)</f>
        <v>10264.306675826872</v>
      </c>
      <c r="S7" s="92">
        <f ca="1">VLOOKUP(S$3,'Dry Detention-Hydro Structures'!$B$28:$E$36,'Dry Detention-Hydro Structures'!$E$1,FALSE)</f>
        <v>10942.573746672937</v>
      </c>
      <c r="T7" s="92">
        <f ca="1">VLOOKUP(T$3,'Dry Detention-Hydro Structures'!$B$28:$E$36,'Dry Detention-Hydro Structures'!$E$1,FALSE)</f>
        <v>10281.101638561489</v>
      </c>
      <c r="U7" s="92">
        <f ca="1">VLOOKUP(U$3,'Dry Detention-Hydro Structures'!$B$28:$E$36,'Dry Detention-Hydro Structures'!$E$1,FALSE)</f>
        <v>10599.751161799071</v>
      </c>
      <c r="V7" s="92">
        <f ca="1">VLOOKUP(V$3,'Dry Detention-Hydro Structures'!$B$28:$E$36,'Dry Detention-Hydro Structures'!$E$1,FALSE)</f>
        <v>10238.288818532383</v>
      </c>
      <c r="W7" s="90">
        <f>'Dry Detention-Hydro Structures'!C15</f>
        <v>20</v>
      </c>
      <c r="X7" s="89" t="s">
        <v>285</v>
      </c>
      <c r="Y7" s="230">
        <f ca="1">VLOOKUP(Y$3,'Dry Detention-Hydro Structures'!$B$39:$E$46,'Dry Detention-Hydro Structures'!$E$1,FALSE)</f>
        <v>647.26393676215423</v>
      </c>
      <c r="Z7" s="230">
        <f ca="1">VLOOKUP(Z$3,'Dry Detention-Hydro Structures'!$B$39:$E$46,'Dry Detention-Hydro Structures'!$E$1,FALSE)</f>
        <v>1282.1654860433532</v>
      </c>
      <c r="AA7" s="230">
        <f ca="1">VLOOKUP(AA$3,'Dry Detention-Hydro Structures'!$B$39:$E$46,'Dry Detention-Hydro Structures'!$E$1,FALSE)</f>
        <v>608.17039837783614</v>
      </c>
      <c r="AB7" s="230">
        <f ca="1">VLOOKUP(AB$3,'Dry Detention-Hydro Structures'!$B$39:$E$46,'Dry Detention-Hydro Structures'!$E$1,FALSE)</f>
        <v>633.59917752017736</v>
      </c>
      <c r="AC7" s="230">
        <f ca="1">VLOOKUP(AC$3,'Dry Detention-Hydro Structures'!$B$39:$E$46,'Dry Detention-Hydro Structures'!$E$1,FALSE)</f>
        <v>675.46751522672446</v>
      </c>
      <c r="AD7" s="230">
        <f ca="1">VLOOKUP(AD$3,'Dry Detention-Hydro Structures'!$B$39:$E$46,'Dry Detention-Hydro Structures'!$E$1,FALSE)</f>
        <v>634.63590361490674</v>
      </c>
      <c r="AE7" s="230">
        <f ca="1">VLOOKUP(AE$3,'Dry Detention-Hydro Structures'!$B$39:$E$46,'Dry Detention-Hydro Structures'!$E$1,FALSE)</f>
        <v>654.30562727154768</v>
      </c>
      <c r="AF7" s="230">
        <f ca="1">VLOOKUP(AF$3,'Dry Detention-Hydro Structures'!$B$39:$E$46,'Dry Detention-Hydro Structures'!$E$1,FALSE)</f>
        <v>631.99313694644331</v>
      </c>
      <c r="AG7" s="89" t="s">
        <v>285</v>
      </c>
      <c r="AH7" s="230">
        <f ca="1">VLOOKUP(AH$3,'Dry Detention-Hydro Structures'!$B$49:$E$56,'Dry Detention-Hydro Structures'!$E$1,FALSE)</f>
        <v>608.42810055642497</v>
      </c>
      <c r="AI7" s="6">
        <f ca="1">VLOOKUP(AI$3,'Dry Detention-Hydro Structures'!$B$49:$E$56,'Dry Detention-Hydro Structures'!$E$1,FALSE)</f>
        <v>1205.235556880752</v>
      </c>
      <c r="AJ7" s="6">
        <f ca="1">VLOOKUP(AJ$3,'Dry Detention-Hydro Structures'!$B$49:$E$56,'Dry Detention-Hydro Structures'!$E$1,FALSE)</f>
        <v>571.68017447516593</v>
      </c>
      <c r="AK7" s="6">
        <f ca="1">VLOOKUP(AK$3,'Dry Detention-Hydro Structures'!$B$49:$E$56,'Dry Detention-Hydro Structures'!$E$1,FALSE)</f>
        <v>595.58322686896679</v>
      </c>
      <c r="AL7" s="6">
        <f ca="1">VLOOKUP(AL$3,'Dry Detention-Hydro Structures'!$B$49:$E$56,'Dry Detention-Hydro Structures'!$E$1,FALSE)</f>
        <v>634.93946431312099</v>
      </c>
      <c r="AM7" s="6">
        <f ca="1">VLOOKUP(AM$3,'Dry Detention-Hydro Structures'!$B$49:$E$56,'Dry Detention-Hydro Structures'!$E$1,FALSE)</f>
        <v>596.55774939801233</v>
      </c>
      <c r="AN7" s="6">
        <f ca="1">VLOOKUP(AN$3,'Dry Detention-Hydro Structures'!$B$49:$E$56,'Dry Detention-Hydro Structures'!$E$1,FALSE)</f>
        <v>615.04728963525474</v>
      </c>
      <c r="AO7" s="6">
        <f ca="1">VLOOKUP(AO$3,'Dry Detention-Hydro Structures'!$B$49:$E$56,'Dry Detention-Hydro Structures'!$E$1,FALSE)</f>
        <v>594.07354872965675</v>
      </c>
      <c r="AP7" s="89" t="s">
        <v>250</v>
      </c>
      <c r="AQ7" s="343" t="s">
        <v>229</v>
      </c>
      <c r="AR7" s="325" t="s">
        <v>62</v>
      </c>
    </row>
    <row r="8" spans="1:44">
      <c r="A8" s="341"/>
      <c r="B8" s="316"/>
      <c r="C8" s="87"/>
      <c r="D8" s="171" t="s">
        <v>18</v>
      </c>
      <c r="E8" s="36" t="str">
        <f>CONCATENATE(B7," ",D8)</f>
        <v>Dry Detention Ponds/Hydrodynamic Structures Median</v>
      </c>
      <c r="F8" s="88">
        <f>DDPHS_Watershed</f>
        <v>1643.5101909788293</v>
      </c>
      <c r="G8" s="6">
        <f>DDPHS_DC</f>
        <v>3255.6302354412073</v>
      </c>
      <c r="H8" s="6">
        <f>DDPHS_DE</f>
        <v>1544.2452310654846</v>
      </c>
      <c r="I8" s="6">
        <f>DDPHS_MD</f>
        <v>1608.8131071527091</v>
      </c>
      <c r="J8" s="6">
        <f>DDPHS_NY</f>
        <v>1715.1237414887896</v>
      </c>
      <c r="K8" s="6">
        <f>DDPHS_PA</f>
        <v>1611.445526178655</v>
      </c>
      <c r="L8" s="6">
        <f>DDPHS_VA</f>
        <v>1661.3902078569513</v>
      </c>
      <c r="M8" s="6">
        <f>DDPHS_WV</f>
        <v>1604.7351045016401</v>
      </c>
      <c r="N8" s="9" t="s">
        <v>250</v>
      </c>
      <c r="O8" s="91">
        <f ca="1">VLOOKUP(O$3,'Dry Detention-Hydro Structures'!$B$28:$E$36,'Dry Detention-Hydro Structures'!$E$1,FALSE)</f>
        <v>10485.675775546897</v>
      </c>
      <c r="P8" s="92">
        <f ca="1">VLOOKUP(P$3,'Dry Detention-Hydro Structures'!$B$28:$E$36,'Dry Detention-Hydro Structures'!$E$1,FALSE)</f>
        <v>20771.08087390232</v>
      </c>
      <c r="Q8" s="92">
        <f ca="1">VLOOKUP(Q$3,'Dry Detention-Hydro Structures'!$B$28:$E$36,'Dry Detention-Hydro Structures'!$E$1,FALSE)</f>
        <v>9852.3604537209449</v>
      </c>
      <c r="R8" s="92">
        <f ca="1">VLOOKUP(R$3,'Dry Detention-Hydro Structures'!$B$28:$E$36,'Dry Detention-Hydro Structures'!$E$1,FALSE)</f>
        <v>10264.306675826872</v>
      </c>
      <c r="S8" s="92">
        <f ca="1">VLOOKUP(S$3,'Dry Detention-Hydro Structures'!$B$28:$E$36,'Dry Detention-Hydro Structures'!$E$1,FALSE)</f>
        <v>10942.573746672937</v>
      </c>
      <c r="T8" s="92">
        <f ca="1">VLOOKUP(T$3,'Dry Detention-Hydro Structures'!$B$28:$E$36,'Dry Detention-Hydro Structures'!$E$1,FALSE)</f>
        <v>10281.101638561489</v>
      </c>
      <c r="U8" s="92">
        <f ca="1">VLOOKUP(U$3,'Dry Detention-Hydro Structures'!$B$28:$E$36,'Dry Detention-Hydro Structures'!$E$1,FALSE)</f>
        <v>10599.751161799071</v>
      </c>
      <c r="V8" s="92">
        <f ca="1">VLOOKUP(V$3,'Dry Detention-Hydro Structures'!$B$28:$E$36,'Dry Detention-Hydro Structures'!$E$1,FALSE)</f>
        <v>10238.288818532383</v>
      </c>
      <c r="W8" s="90">
        <f>W7</f>
        <v>20</v>
      </c>
      <c r="X8" s="89" t="s">
        <v>285</v>
      </c>
      <c r="Y8" s="230">
        <f ca="1">VLOOKUP(Y$3,'Dry Detention-Hydro Structures'!$B$39:$E$46,'Dry Detention-Hydro Structures'!$E$1,FALSE)</f>
        <v>647.26393676215423</v>
      </c>
      <c r="Z8" s="230">
        <f ca="1">VLOOKUP(Z$3,'Dry Detention-Hydro Structures'!$B$39:$E$46,'Dry Detention-Hydro Structures'!$E$1,FALSE)</f>
        <v>1282.1654860433532</v>
      </c>
      <c r="AA8" s="230">
        <f ca="1">VLOOKUP(AA$3,'Dry Detention-Hydro Structures'!$B$39:$E$46,'Dry Detention-Hydro Structures'!$E$1,FALSE)</f>
        <v>608.17039837783614</v>
      </c>
      <c r="AB8" s="230">
        <f ca="1">VLOOKUP(AB$3,'Dry Detention-Hydro Structures'!$B$39:$E$46,'Dry Detention-Hydro Structures'!$E$1,FALSE)</f>
        <v>633.59917752017736</v>
      </c>
      <c r="AC8" s="230">
        <f ca="1">VLOOKUP(AC$3,'Dry Detention-Hydro Structures'!$B$39:$E$46,'Dry Detention-Hydro Structures'!$E$1,FALSE)</f>
        <v>675.46751522672446</v>
      </c>
      <c r="AD8" s="230">
        <f ca="1">VLOOKUP(AD$3,'Dry Detention-Hydro Structures'!$B$39:$E$46,'Dry Detention-Hydro Structures'!$E$1,FALSE)</f>
        <v>634.63590361490674</v>
      </c>
      <c r="AE8" s="230">
        <f ca="1">VLOOKUP(AE$3,'Dry Detention-Hydro Structures'!$B$39:$E$46,'Dry Detention-Hydro Structures'!$E$1,FALSE)</f>
        <v>654.30562727154768</v>
      </c>
      <c r="AF8" s="230">
        <f ca="1">VLOOKUP(AF$3,'Dry Detention-Hydro Structures'!$B$39:$E$46,'Dry Detention-Hydro Structures'!$E$1,FALSE)</f>
        <v>631.99313694644331</v>
      </c>
      <c r="AG8" s="89" t="s">
        <v>285</v>
      </c>
      <c r="AH8" s="230">
        <f ca="1">VLOOKUP(AH$3,'Dry Detention-Hydro Structures'!$B$49:$E$56,'Dry Detention-Hydro Structures'!$E$1,FALSE)</f>
        <v>608.42810055642497</v>
      </c>
      <c r="AI8" s="6">
        <f ca="1">VLOOKUP(AI$3,'Dry Detention-Hydro Structures'!$B$49:$E$56,'Dry Detention-Hydro Structures'!$E$1,FALSE)</f>
        <v>1205.235556880752</v>
      </c>
      <c r="AJ8" s="6">
        <f ca="1">VLOOKUP(AJ$3,'Dry Detention-Hydro Structures'!$B$49:$E$56,'Dry Detention-Hydro Structures'!$E$1,FALSE)</f>
        <v>571.68017447516593</v>
      </c>
      <c r="AK8" s="6">
        <f ca="1">VLOOKUP(AK$3,'Dry Detention-Hydro Structures'!$B$49:$E$56,'Dry Detention-Hydro Structures'!$E$1,FALSE)</f>
        <v>595.58322686896679</v>
      </c>
      <c r="AL8" s="6">
        <f ca="1">VLOOKUP(AL$3,'Dry Detention-Hydro Structures'!$B$49:$E$56,'Dry Detention-Hydro Structures'!$E$1,FALSE)</f>
        <v>634.93946431312099</v>
      </c>
      <c r="AM8" s="6">
        <f ca="1">VLOOKUP(AM$3,'Dry Detention-Hydro Structures'!$B$49:$E$56,'Dry Detention-Hydro Structures'!$E$1,FALSE)</f>
        <v>596.55774939801233</v>
      </c>
      <c r="AN8" s="6">
        <f ca="1">VLOOKUP(AN$3,'Dry Detention-Hydro Structures'!$B$49:$E$56,'Dry Detention-Hydro Structures'!$E$1,FALSE)</f>
        <v>615.04728963525474</v>
      </c>
      <c r="AO8" s="6">
        <f ca="1">VLOOKUP(AO$3,'Dry Detention-Hydro Structures'!$B$49:$E$56,'Dry Detention-Hydro Structures'!$E$1,FALSE)</f>
        <v>594.07354872965675</v>
      </c>
      <c r="AP8" s="89" t="s">
        <v>250</v>
      </c>
      <c r="AQ8" s="344"/>
      <c r="AR8" s="326"/>
    </row>
    <row r="9" spans="1:44">
      <c r="A9" s="342"/>
      <c r="B9" s="320"/>
      <c r="C9" s="87"/>
      <c r="D9" s="171" t="s">
        <v>208</v>
      </c>
      <c r="E9" s="36" t="str">
        <f>CONCATENATE(B7," ",D9)</f>
        <v>Dry Detention Ponds/Hydrodynamic Structures High</v>
      </c>
      <c r="F9" s="88">
        <f>DDPHS_Watershed</f>
        <v>1643.5101909788293</v>
      </c>
      <c r="G9" s="6">
        <f>DDPHS_DC</f>
        <v>3255.6302354412073</v>
      </c>
      <c r="H9" s="6">
        <f>DDPHS_DE</f>
        <v>1544.2452310654846</v>
      </c>
      <c r="I9" s="6">
        <f>DDPHS_MD</f>
        <v>1608.8131071527091</v>
      </c>
      <c r="J9" s="6">
        <f>DDPHS_NY</f>
        <v>1715.1237414887896</v>
      </c>
      <c r="K9" s="6">
        <f>DDPHS_PA</f>
        <v>1611.445526178655</v>
      </c>
      <c r="L9" s="6">
        <f>DDPHS_VA</f>
        <v>1661.3902078569513</v>
      </c>
      <c r="M9" s="6">
        <f>DDPHS_WV</f>
        <v>1604.7351045016401</v>
      </c>
      <c r="N9" s="9" t="s">
        <v>250</v>
      </c>
      <c r="O9" s="91">
        <f ca="1">VLOOKUP(O$3,'Dry Detention-Hydro Structures'!$B$28:$E$36,'Dry Detention-Hydro Structures'!$E$1,FALSE)</f>
        <v>10485.675775546897</v>
      </c>
      <c r="P9" s="92">
        <f ca="1">VLOOKUP(P$3,'Dry Detention-Hydro Structures'!$B$28:$E$36,'Dry Detention-Hydro Structures'!$E$1,FALSE)</f>
        <v>20771.08087390232</v>
      </c>
      <c r="Q9" s="92">
        <f ca="1">VLOOKUP(Q$3,'Dry Detention-Hydro Structures'!$B$28:$E$36,'Dry Detention-Hydro Structures'!$E$1,FALSE)</f>
        <v>9852.3604537209449</v>
      </c>
      <c r="R9" s="92">
        <f ca="1">VLOOKUP(R$3,'Dry Detention-Hydro Structures'!$B$28:$E$36,'Dry Detention-Hydro Structures'!$E$1,FALSE)</f>
        <v>10264.306675826872</v>
      </c>
      <c r="S9" s="92">
        <f ca="1">VLOOKUP(S$3,'Dry Detention-Hydro Structures'!$B$28:$E$36,'Dry Detention-Hydro Structures'!$E$1,FALSE)</f>
        <v>10942.573746672937</v>
      </c>
      <c r="T9" s="92">
        <f ca="1">VLOOKUP(T$3,'Dry Detention-Hydro Structures'!$B$28:$E$36,'Dry Detention-Hydro Structures'!$E$1,FALSE)</f>
        <v>10281.101638561489</v>
      </c>
      <c r="U9" s="92">
        <f ca="1">VLOOKUP(U$3,'Dry Detention-Hydro Structures'!$B$28:$E$36,'Dry Detention-Hydro Structures'!$E$1,FALSE)</f>
        <v>10599.751161799071</v>
      </c>
      <c r="V9" s="92">
        <f ca="1">VLOOKUP(V$3,'Dry Detention-Hydro Structures'!$B$28:$E$36,'Dry Detention-Hydro Structures'!$E$1,FALSE)</f>
        <v>10238.288818532383</v>
      </c>
      <c r="W9" s="90">
        <f>W7</f>
        <v>20</v>
      </c>
      <c r="X9" s="89" t="s">
        <v>285</v>
      </c>
      <c r="Y9" s="230">
        <f ca="1">VLOOKUP(Y$3,'Dry Detention-Hydro Structures'!$B$39:$E$46,'Dry Detention-Hydro Structures'!$E$1,FALSE)</f>
        <v>647.26393676215423</v>
      </c>
      <c r="Z9" s="230">
        <f ca="1">VLOOKUP(Z$3,'Dry Detention-Hydro Structures'!$B$39:$E$46,'Dry Detention-Hydro Structures'!$E$1,FALSE)</f>
        <v>1282.1654860433532</v>
      </c>
      <c r="AA9" s="230">
        <f ca="1">VLOOKUP(AA$3,'Dry Detention-Hydro Structures'!$B$39:$E$46,'Dry Detention-Hydro Structures'!$E$1,FALSE)</f>
        <v>608.17039837783614</v>
      </c>
      <c r="AB9" s="230">
        <f ca="1">VLOOKUP(AB$3,'Dry Detention-Hydro Structures'!$B$39:$E$46,'Dry Detention-Hydro Structures'!$E$1,FALSE)</f>
        <v>633.59917752017736</v>
      </c>
      <c r="AC9" s="230">
        <f ca="1">VLOOKUP(AC$3,'Dry Detention-Hydro Structures'!$B$39:$E$46,'Dry Detention-Hydro Structures'!$E$1,FALSE)</f>
        <v>675.46751522672446</v>
      </c>
      <c r="AD9" s="230">
        <f ca="1">VLOOKUP(AD$3,'Dry Detention-Hydro Structures'!$B$39:$E$46,'Dry Detention-Hydro Structures'!$E$1,FALSE)</f>
        <v>634.63590361490674</v>
      </c>
      <c r="AE9" s="230">
        <f ca="1">VLOOKUP(AE$3,'Dry Detention-Hydro Structures'!$B$39:$E$46,'Dry Detention-Hydro Structures'!$E$1,FALSE)</f>
        <v>654.30562727154768</v>
      </c>
      <c r="AF9" s="230">
        <f ca="1">VLOOKUP(AF$3,'Dry Detention-Hydro Structures'!$B$39:$E$46,'Dry Detention-Hydro Structures'!$E$1,FALSE)</f>
        <v>631.99313694644331</v>
      </c>
      <c r="AG9" s="89" t="s">
        <v>285</v>
      </c>
      <c r="AH9" s="230">
        <f ca="1">VLOOKUP(AH$3,'Dry Detention-Hydro Structures'!$B$49:$E$56,'Dry Detention-Hydro Structures'!$E$1,FALSE)</f>
        <v>608.42810055642497</v>
      </c>
      <c r="AI9" s="6">
        <f ca="1">VLOOKUP(AI$3,'Dry Detention-Hydro Structures'!$B$49:$E$56,'Dry Detention-Hydro Structures'!$E$1,FALSE)</f>
        <v>1205.235556880752</v>
      </c>
      <c r="AJ9" s="6">
        <f ca="1">VLOOKUP(AJ$3,'Dry Detention-Hydro Structures'!$B$49:$E$56,'Dry Detention-Hydro Structures'!$E$1,FALSE)</f>
        <v>571.68017447516593</v>
      </c>
      <c r="AK9" s="6">
        <f ca="1">VLOOKUP(AK$3,'Dry Detention-Hydro Structures'!$B$49:$E$56,'Dry Detention-Hydro Structures'!$E$1,FALSE)</f>
        <v>595.58322686896679</v>
      </c>
      <c r="AL9" s="6">
        <f ca="1">VLOOKUP(AL$3,'Dry Detention-Hydro Structures'!$B$49:$E$56,'Dry Detention-Hydro Structures'!$E$1,FALSE)</f>
        <v>634.93946431312099</v>
      </c>
      <c r="AM9" s="6">
        <f ca="1">VLOOKUP(AM$3,'Dry Detention-Hydro Structures'!$B$49:$E$56,'Dry Detention-Hydro Structures'!$E$1,FALSE)</f>
        <v>596.55774939801233</v>
      </c>
      <c r="AN9" s="6">
        <f ca="1">VLOOKUP(AN$3,'Dry Detention-Hydro Structures'!$B$49:$E$56,'Dry Detention-Hydro Structures'!$E$1,FALSE)</f>
        <v>615.04728963525474</v>
      </c>
      <c r="AO9" s="6">
        <f ca="1">VLOOKUP(AO$3,'Dry Detention-Hydro Structures'!$B$49:$E$56,'Dry Detention-Hydro Structures'!$E$1,FALSE)</f>
        <v>594.07354872965675</v>
      </c>
      <c r="AP9" s="89" t="s">
        <v>250</v>
      </c>
      <c r="AQ9" s="345"/>
      <c r="AR9" s="327"/>
    </row>
    <row r="10" spans="1:44">
      <c r="A10" s="340">
        <v>3</v>
      </c>
      <c r="B10" s="319" t="s">
        <v>3</v>
      </c>
      <c r="C10" s="87"/>
      <c r="D10" s="171" t="s">
        <v>207</v>
      </c>
      <c r="E10" s="36" t="str">
        <f>CONCATENATE(B10," ",D10)</f>
        <v>Erosion and Sediment Control Low</v>
      </c>
      <c r="F10" s="88">
        <f>UESC_Watershed</f>
        <v>635.41022187840474</v>
      </c>
      <c r="G10" s="6">
        <f>UESC_DC</f>
        <v>1258.6844557524182</v>
      </c>
      <c r="H10" s="6">
        <f>UESC_DE</f>
        <v>597.03262583458331</v>
      </c>
      <c r="I10" s="6">
        <f>UESC_MD</f>
        <v>621.99571319235997</v>
      </c>
      <c r="J10" s="6">
        <f>UESC_NY</f>
        <v>663.09729207048747</v>
      </c>
      <c r="K10" s="6">
        <f>UESC_PA</f>
        <v>623.01345312882904</v>
      </c>
      <c r="L10" s="6">
        <f>UESC_VA</f>
        <v>642.32295387975046</v>
      </c>
      <c r="M10" s="6">
        <f>UESC_WV</f>
        <v>620.41908495874179</v>
      </c>
      <c r="N10" s="9" t="s">
        <v>250</v>
      </c>
      <c r="O10" s="91">
        <f ca="1">VLOOKUP(O$3,'Erosion and Sediment Control'!$B$13:$E$21,'Erosion and Sediment Control'!$D$1,FALSE)</f>
        <v>6731.5449423264045</v>
      </c>
      <c r="P10" s="92">
        <f ca="1">VLOOKUP(P$3,'Erosion and Sediment Control'!$B$13:$E$21,'Erosion and Sediment Control'!$D$1,FALSE)</f>
        <v>13334.521054850873</v>
      </c>
      <c r="Q10" s="92">
        <f ca="1">VLOOKUP(Q$3,'Erosion and Sediment Control'!$B$13:$E$21,'Erosion and Sediment Control'!$D$1,FALSE)</f>
        <v>6324.9721431294956</v>
      </c>
      <c r="R10" s="92">
        <f ca="1">VLOOKUP(R$3,'Erosion and Sediment Control'!$B$13:$E$21,'Erosion and Sediment Control'!$D$1,FALSE)</f>
        <v>6589.4314462098455</v>
      </c>
      <c r="S10" s="92">
        <f ca="1">VLOOKUP(S$3,'Erosion and Sediment Control'!$B$13:$E$21,'Erosion and Sediment Control'!$D$1,FALSE)</f>
        <v>7024.8621583579343</v>
      </c>
      <c r="T10" s="92">
        <f ca="1">VLOOKUP(T$3,'Erosion and Sediment Control'!$B$13:$E$21,'Erosion and Sediment Control'!$D$1,FALSE)</f>
        <v>6600.2133975950301</v>
      </c>
      <c r="U10" s="92">
        <f ca="1">VLOOKUP(U$3,'Erosion and Sediment Control'!$B$13:$E$21,'Erosion and Sediment Control'!$D$1,FALSE)</f>
        <v>6804.7785236240952</v>
      </c>
      <c r="V10" s="92">
        <f ca="1">VLOOKUP(V$3,'Erosion and Sediment Control'!$B$13:$E$21,'Erosion and Sediment Control'!$D$1,FALSE)</f>
        <v>6572.7286242430109</v>
      </c>
      <c r="W10" s="90">
        <f>'Erosion and Sediment Control'!C$11</f>
        <v>20</v>
      </c>
      <c r="X10" s="89" t="s">
        <v>285</v>
      </c>
      <c r="Y10" s="231">
        <v>0</v>
      </c>
      <c r="Z10" s="92">
        <v>0</v>
      </c>
      <c r="AA10" s="92">
        <v>0</v>
      </c>
      <c r="AB10" s="92">
        <v>0</v>
      </c>
      <c r="AC10" s="92">
        <v>0</v>
      </c>
      <c r="AD10" s="92">
        <v>0</v>
      </c>
      <c r="AE10" s="92">
        <v>0</v>
      </c>
      <c r="AF10" s="92">
        <v>0</v>
      </c>
      <c r="AG10" s="89" t="s">
        <v>285</v>
      </c>
      <c r="AH10" s="231">
        <f ca="1">VLOOKUP(AH$3,'Erosion and Sediment Control'!$B$13:$E$21,'Erosion and Sediment Control'!$E$1,FALSE)</f>
        <v>0</v>
      </c>
      <c r="AI10" s="92">
        <f ca="1">VLOOKUP(AI$3,'Erosion and Sediment Control'!$B$13:$E$21,'Erosion and Sediment Control'!$E$1,FALSE)</f>
        <v>0</v>
      </c>
      <c r="AJ10" s="92">
        <f ca="1">VLOOKUP(AJ$3,'Erosion and Sediment Control'!$B$13:$E$21,'Erosion and Sediment Control'!$E$1,FALSE)</f>
        <v>0</v>
      </c>
      <c r="AK10" s="92">
        <f ca="1">VLOOKUP(AK$3,'Erosion and Sediment Control'!$B$13:$E$21,'Erosion and Sediment Control'!$E$1,FALSE)</f>
        <v>0</v>
      </c>
      <c r="AL10" s="92">
        <f ca="1">VLOOKUP(AL$3,'Erosion and Sediment Control'!$B$13:$E$21,'Erosion and Sediment Control'!$E$1,FALSE)</f>
        <v>0</v>
      </c>
      <c r="AM10" s="92">
        <f ca="1">VLOOKUP(AM$3,'Erosion and Sediment Control'!$B$13:$E$21,'Erosion and Sediment Control'!$E$1,FALSE)</f>
        <v>0</v>
      </c>
      <c r="AN10" s="92">
        <f ca="1">VLOOKUP(AN$3,'Erosion and Sediment Control'!$B$13:$E$21,'Erosion and Sediment Control'!$E$1,FALSE)</f>
        <v>0</v>
      </c>
      <c r="AO10" s="92">
        <f ca="1">VLOOKUP(AO$3,'Erosion and Sediment Control'!$B$13:$E$21,'Erosion and Sediment Control'!$E$1,FALSE)</f>
        <v>0</v>
      </c>
      <c r="AP10" s="89" t="s">
        <v>250</v>
      </c>
      <c r="AQ10" s="343" t="s">
        <v>229</v>
      </c>
      <c r="AR10" s="325" t="s">
        <v>63</v>
      </c>
    </row>
    <row r="11" spans="1:44">
      <c r="A11" s="341"/>
      <c r="B11" s="316"/>
      <c r="C11" s="87"/>
      <c r="D11" s="171" t="s">
        <v>18</v>
      </c>
      <c r="E11" s="36" t="str">
        <f>CONCATENATE(B10," ",D11)</f>
        <v>Erosion and Sediment Control Median</v>
      </c>
      <c r="F11" s="88">
        <f>UESC_Watershed</f>
        <v>635.41022187840474</v>
      </c>
      <c r="G11" s="6">
        <f>UESC_DC</f>
        <v>1258.6844557524182</v>
      </c>
      <c r="H11" s="6">
        <f>UESC_DE</f>
        <v>597.03262583458331</v>
      </c>
      <c r="I11" s="6">
        <f>UESC_MD</f>
        <v>621.99571319235997</v>
      </c>
      <c r="J11" s="6">
        <f>UESC_NY</f>
        <v>663.09729207048747</v>
      </c>
      <c r="K11" s="6">
        <f>UESC_PA</f>
        <v>623.01345312882904</v>
      </c>
      <c r="L11" s="6">
        <f>UESC_VA</f>
        <v>642.32295387975046</v>
      </c>
      <c r="M11" s="6">
        <f>UESC_WV</f>
        <v>620.41908495874179</v>
      </c>
      <c r="N11" s="9" t="s">
        <v>250</v>
      </c>
      <c r="O11" s="91">
        <f ca="1">VLOOKUP(O$3,'Erosion and Sediment Control'!$B$13:$E$21,'Erosion and Sediment Control'!$D$1,FALSE)</f>
        <v>6731.5449423264045</v>
      </c>
      <c r="P11" s="92">
        <f ca="1">VLOOKUP(P$3,'Erosion and Sediment Control'!$B$13:$E$21,'Erosion and Sediment Control'!$D$1,FALSE)</f>
        <v>13334.521054850873</v>
      </c>
      <c r="Q11" s="92">
        <f ca="1">VLOOKUP(Q$3,'Erosion and Sediment Control'!$B$13:$E$21,'Erosion and Sediment Control'!$D$1,FALSE)</f>
        <v>6324.9721431294956</v>
      </c>
      <c r="R11" s="92">
        <f ca="1">VLOOKUP(R$3,'Erosion and Sediment Control'!$B$13:$E$21,'Erosion and Sediment Control'!$D$1,FALSE)</f>
        <v>6589.4314462098455</v>
      </c>
      <c r="S11" s="92">
        <f ca="1">VLOOKUP(S$3,'Erosion and Sediment Control'!$B$13:$E$21,'Erosion and Sediment Control'!$D$1,FALSE)</f>
        <v>7024.8621583579343</v>
      </c>
      <c r="T11" s="92">
        <f ca="1">VLOOKUP(T$3,'Erosion and Sediment Control'!$B$13:$E$21,'Erosion and Sediment Control'!$D$1,FALSE)</f>
        <v>6600.2133975950301</v>
      </c>
      <c r="U11" s="92">
        <f ca="1">VLOOKUP(U$3,'Erosion and Sediment Control'!$B$13:$E$21,'Erosion and Sediment Control'!$D$1,FALSE)</f>
        <v>6804.7785236240952</v>
      </c>
      <c r="V11" s="92">
        <f ca="1">VLOOKUP(V$3,'Erosion and Sediment Control'!$B$13:$E$21,'Erosion and Sediment Control'!$D$1,FALSE)</f>
        <v>6572.7286242430109</v>
      </c>
      <c r="W11" s="90">
        <f>W10</f>
        <v>20</v>
      </c>
      <c r="X11" s="89" t="s">
        <v>285</v>
      </c>
      <c r="Y11" s="231">
        <v>0</v>
      </c>
      <c r="Z11" s="92">
        <v>0</v>
      </c>
      <c r="AA11" s="92">
        <v>0</v>
      </c>
      <c r="AB11" s="92">
        <v>0</v>
      </c>
      <c r="AC11" s="92">
        <v>0</v>
      </c>
      <c r="AD11" s="92">
        <v>0</v>
      </c>
      <c r="AE11" s="92">
        <v>0</v>
      </c>
      <c r="AF11" s="92">
        <v>0</v>
      </c>
      <c r="AG11" s="89" t="s">
        <v>285</v>
      </c>
      <c r="AH11" s="231">
        <f ca="1">VLOOKUP(AH$3,'Erosion and Sediment Control'!$B$13:$E$21,'Erosion and Sediment Control'!$E$1,FALSE)</f>
        <v>0</v>
      </c>
      <c r="AI11" s="92">
        <f ca="1">VLOOKUP(AI$3,'Erosion and Sediment Control'!$B$13:$E$21,'Erosion and Sediment Control'!$E$1,FALSE)</f>
        <v>0</v>
      </c>
      <c r="AJ11" s="92">
        <f ca="1">VLOOKUP(AJ$3,'Erosion and Sediment Control'!$B$13:$E$21,'Erosion and Sediment Control'!$E$1,FALSE)</f>
        <v>0</v>
      </c>
      <c r="AK11" s="92">
        <f ca="1">VLOOKUP(AK$3,'Erosion and Sediment Control'!$B$13:$E$21,'Erosion and Sediment Control'!$E$1,FALSE)</f>
        <v>0</v>
      </c>
      <c r="AL11" s="92">
        <f ca="1">VLOOKUP(AL$3,'Erosion and Sediment Control'!$B$13:$E$21,'Erosion and Sediment Control'!$E$1,FALSE)</f>
        <v>0</v>
      </c>
      <c r="AM11" s="92">
        <f ca="1">VLOOKUP(AM$3,'Erosion and Sediment Control'!$B$13:$E$21,'Erosion and Sediment Control'!$E$1,FALSE)</f>
        <v>0</v>
      </c>
      <c r="AN11" s="92">
        <f ca="1">VLOOKUP(AN$3,'Erosion and Sediment Control'!$B$13:$E$21,'Erosion and Sediment Control'!$E$1,FALSE)</f>
        <v>0</v>
      </c>
      <c r="AO11" s="92">
        <f ca="1">VLOOKUP(AO$3,'Erosion and Sediment Control'!$B$13:$E$21,'Erosion and Sediment Control'!$E$1,FALSE)</f>
        <v>0</v>
      </c>
      <c r="AP11" s="89" t="s">
        <v>250</v>
      </c>
      <c r="AQ11" s="344"/>
      <c r="AR11" s="326"/>
    </row>
    <row r="12" spans="1:44">
      <c r="A12" s="342"/>
      <c r="B12" s="320"/>
      <c r="C12" s="87"/>
      <c r="D12" s="171" t="s">
        <v>208</v>
      </c>
      <c r="E12" s="36" t="str">
        <f>CONCATENATE(B10," ",D12)</f>
        <v>Erosion and Sediment Control High</v>
      </c>
      <c r="F12" s="88">
        <f>UESC_Watershed</f>
        <v>635.41022187840474</v>
      </c>
      <c r="G12" s="6">
        <f>UESC_DC</f>
        <v>1258.6844557524182</v>
      </c>
      <c r="H12" s="6">
        <f>UESC_DE</f>
        <v>597.03262583458331</v>
      </c>
      <c r="I12" s="6">
        <f>UESC_MD</f>
        <v>621.99571319235997</v>
      </c>
      <c r="J12" s="6">
        <f>UESC_NY</f>
        <v>663.09729207048747</v>
      </c>
      <c r="K12" s="6">
        <f>UESC_PA</f>
        <v>623.01345312882904</v>
      </c>
      <c r="L12" s="6">
        <f>UESC_VA</f>
        <v>642.32295387975046</v>
      </c>
      <c r="M12" s="6">
        <f>UESC_WV</f>
        <v>620.41908495874179</v>
      </c>
      <c r="N12" s="9" t="s">
        <v>250</v>
      </c>
      <c r="O12" s="91">
        <f ca="1">VLOOKUP(O$3,'Erosion and Sediment Control'!$B$13:$E$21,'Erosion and Sediment Control'!$D$1,FALSE)</f>
        <v>6731.5449423264045</v>
      </c>
      <c r="P12" s="92">
        <f ca="1">VLOOKUP(P$3,'Erosion and Sediment Control'!$B$13:$E$21,'Erosion and Sediment Control'!$D$1,FALSE)</f>
        <v>13334.521054850873</v>
      </c>
      <c r="Q12" s="92">
        <f ca="1">VLOOKUP(Q$3,'Erosion and Sediment Control'!$B$13:$E$21,'Erosion and Sediment Control'!$D$1,FALSE)</f>
        <v>6324.9721431294956</v>
      </c>
      <c r="R12" s="92">
        <f ca="1">VLOOKUP(R$3,'Erosion and Sediment Control'!$B$13:$E$21,'Erosion and Sediment Control'!$D$1,FALSE)</f>
        <v>6589.4314462098455</v>
      </c>
      <c r="S12" s="92">
        <f ca="1">VLOOKUP(S$3,'Erosion and Sediment Control'!$B$13:$E$21,'Erosion and Sediment Control'!$D$1,FALSE)</f>
        <v>7024.8621583579343</v>
      </c>
      <c r="T12" s="92">
        <f ca="1">VLOOKUP(T$3,'Erosion and Sediment Control'!$B$13:$E$21,'Erosion and Sediment Control'!$D$1,FALSE)</f>
        <v>6600.2133975950301</v>
      </c>
      <c r="U12" s="92">
        <f ca="1">VLOOKUP(U$3,'Erosion and Sediment Control'!$B$13:$E$21,'Erosion and Sediment Control'!$D$1,FALSE)</f>
        <v>6804.7785236240952</v>
      </c>
      <c r="V12" s="92">
        <f ca="1">VLOOKUP(V$3,'Erosion and Sediment Control'!$B$13:$E$21,'Erosion and Sediment Control'!$D$1,FALSE)</f>
        <v>6572.7286242430109</v>
      </c>
      <c r="W12" s="90">
        <f>W10</f>
        <v>20</v>
      </c>
      <c r="X12" s="89" t="s">
        <v>285</v>
      </c>
      <c r="Y12" s="231">
        <v>0</v>
      </c>
      <c r="Z12" s="92">
        <v>0</v>
      </c>
      <c r="AA12" s="92">
        <v>0</v>
      </c>
      <c r="AB12" s="92">
        <v>0</v>
      </c>
      <c r="AC12" s="92">
        <v>0</v>
      </c>
      <c r="AD12" s="92">
        <v>0</v>
      </c>
      <c r="AE12" s="92">
        <v>0</v>
      </c>
      <c r="AF12" s="92">
        <v>0</v>
      </c>
      <c r="AG12" s="89" t="s">
        <v>285</v>
      </c>
      <c r="AH12" s="231">
        <f ca="1">VLOOKUP(AH$3,'Erosion and Sediment Control'!$B$13:$E$21,'Erosion and Sediment Control'!$E$1,FALSE)</f>
        <v>0</v>
      </c>
      <c r="AI12" s="92">
        <f ca="1">VLOOKUP(AI$3,'Erosion and Sediment Control'!$B$13:$E$21,'Erosion and Sediment Control'!$E$1,FALSE)</f>
        <v>0</v>
      </c>
      <c r="AJ12" s="92">
        <f ca="1">VLOOKUP(AJ$3,'Erosion and Sediment Control'!$B$13:$E$21,'Erosion and Sediment Control'!$E$1,FALSE)</f>
        <v>0</v>
      </c>
      <c r="AK12" s="92">
        <f ca="1">VLOOKUP(AK$3,'Erosion and Sediment Control'!$B$13:$E$21,'Erosion and Sediment Control'!$E$1,FALSE)</f>
        <v>0</v>
      </c>
      <c r="AL12" s="92">
        <f ca="1">VLOOKUP(AL$3,'Erosion and Sediment Control'!$B$13:$E$21,'Erosion and Sediment Control'!$E$1,FALSE)</f>
        <v>0</v>
      </c>
      <c r="AM12" s="92">
        <f ca="1">VLOOKUP(AM$3,'Erosion and Sediment Control'!$B$13:$E$21,'Erosion and Sediment Control'!$E$1,FALSE)</f>
        <v>0</v>
      </c>
      <c r="AN12" s="92">
        <f ca="1">VLOOKUP(AN$3,'Erosion and Sediment Control'!$B$13:$E$21,'Erosion and Sediment Control'!$E$1,FALSE)</f>
        <v>0</v>
      </c>
      <c r="AO12" s="92">
        <f ca="1">VLOOKUP(AO$3,'Erosion and Sediment Control'!$B$13:$E$21,'Erosion and Sediment Control'!$E$1,FALSE)</f>
        <v>0</v>
      </c>
      <c r="AP12" s="89" t="s">
        <v>250</v>
      </c>
      <c r="AQ12" s="345"/>
      <c r="AR12" s="327"/>
    </row>
    <row r="13" spans="1:44">
      <c r="A13" s="340">
        <v>4</v>
      </c>
      <c r="B13" s="319" t="s">
        <v>4</v>
      </c>
      <c r="C13" s="87" t="s">
        <v>277</v>
      </c>
      <c r="D13" s="171" t="s">
        <v>207</v>
      </c>
      <c r="E13" s="36" t="str">
        <f>CONCATENATE(B13," ",D13)</f>
        <v>Urban Filtering Practices Low</v>
      </c>
      <c r="F13" s="88">
        <f ca="1">INDEX(INDIRECT($C13),MATCH(F$3,'Filtering Practices'!$B$14:$B$21,0),MATCH($D13,'Filtering Practices'!$C$13:$E$13,0))</f>
        <v>841.02049781581889</v>
      </c>
      <c r="G13" s="6">
        <f ca="1">INDEX(INDIRECT($C13),MATCH(G$3,'Filtering Practices'!$B$14:$B$21,0),MATCH($D13,'Filtering Practices'!$C$13:$E$13,0))</f>
        <v>1665.9779637169684</v>
      </c>
      <c r="H13" s="6">
        <f ca="1">INDEX(INDIRECT($C13),MATCH(H$3,'Filtering Practices'!$B$14:$B$21,0),MATCH($D13,'Filtering Practices'!$C$13:$E$13,0))</f>
        <v>790.22442337695725</v>
      </c>
      <c r="I13" s="6">
        <f ca="1">INDEX(INDIRECT($C13),MATCH(I$3,'Filtering Practices'!$B$14:$B$21,0),MATCH($D13,'Filtering Practices'!$C$13:$E$13,0))</f>
        <v>823.26523297330436</v>
      </c>
      <c r="J13" s="6">
        <f ca="1">INDEX(INDIRECT($C13),MATCH(J$3,'Filtering Practices'!$B$14:$B$21,0),MATCH($D13,'Filtering Practices'!$C$13:$E$13,0))</f>
        <v>877.66673477305653</v>
      </c>
      <c r="K13" s="6">
        <f ca="1">INDEX(INDIRECT($C13),MATCH(K$3,'Filtering Practices'!$B$14:$B$21,0),MATCH($D13,'Filtering Practices'!$C$13:$E$13,0))</f>
        <v>824.61229998378769</v>
      </c>
      <c r="L13" s="6">
        <f ca="1">INDEX(INDIRECT($C13),MATCH(L$3,'Filtering Practices'!$B$14:$B$21,0),MATCH($D13,'Filtering Practices'!$C$13:$E$13,0))</f>
        <v>850.17009772601932</v>
      </c>
      <c r="M13" s="6">
        <f ca="1">INDEX(INDIRECT($C13),MATCH(M$3,'Filtering Practices'!$B$14:$B$21,0),MATCH($D13,'Filtering Practices'!$C$13:$E$13,0))</f>
        <v>821.17842886431754</v>
      </c>
      <c r="N13" s="9" t="s">
        <v>250</v>
      </c>
      <c r="O13" s="88">
        <f ca="1">INDEX('Filtering Practices'!$C$24:$E$31,MATCH(O$3,'Filtering Practices'!$B$24:$B$31,0),MATCH($D13,'Filtering Practices'!$C$23:$E$23,0))</f>
        <v>5603.1333373027237</v>
      </c>
      <c r="P13" s="6">
        <f ca="1">INDEX('Filtering Practices'!$C$24:$E$31,MATCH(P$3,'Filtering Practices'!$B$24:$B$31,0),MATCH($D13,'Filtering Practices'!$C$23:$E$23,0))</f>
        <v>11099.249889814844</v>
      </c>
      <c r="Q13" s="6">
        <f ca="1">INDEX('Filtering Practices'!$C$24:$E$31,MATCH(Q$3,'Filtering Practices'!$B$24:$B$31,0),MATCH($D13,'Filtering Practices'!$C$23:$E$23,0))</f>
        <v>5264.7145011011507</v>
      </c>
      <c r="R13" s="6">
        <f ca="1">INDEX('Filtering Practices'!$C$24:$E$31,MATCH(R$3,'Filtering Practices'!$B$24:$B$31,0),MATCH($D13,'Filtering Practices'!$C$23:$E$23,0))</f>
        <v>5484.8423840975383</v>
      </c>
      <c r="S13" s="6">
        <f ca="1">INDEX('Filtering Practices'!$C$24:$E$31,MATCH(S$3,'Filtering Practices'!$B$24:$B$31,0),MATCH($D13,'Filtering Practices'!$C$23:$E$23,0))</f>
        <v>5847.2816696145492</v>
      </c>
      <c r="T13" s="6">
        <f ca="1">INDEX('Filtering Practices'!$C$24:$E$31,MATCH(T$3,'Filtering Practices'!$B$24:$B$31,0),MATCH($D13,'Filtering Practices'!$C$23:$E$23,0))</f>
        <v>5493.8169526052288</v>
      </c>
      <c r="U13" s="6">
        <f ca="1">INDEX('Filtering Practices'!$C$24:$E$31,MATCH(U$3,'Filtering Practices'!$B$24:$B$31,0),MATCH($D13,'Filtering Practices'!$C$23:$E$23,0))</f>
        <v>5664.0907437071664</v>
      </c>
      <c r="V13" s="6">
        <f ca="1">INDEX('Filtering Practices'!$C$24:$E$31,MATCH(V$3,'Filtering Practices'!$B$24:$B$31,0),MATCH($D13,'Filtering Practices'!$C$23:$E$23,0))</f>
        <v>5470.9394629418111</v>
      </c>
      <c r="W13" s="90">
        <f>'Filtering Practices'!C3</f>
        <v>20</v>
      </c>
      <c r="X13" s="89" t="s">
        <v>285</v>
      </c>
      <c r="Y13" s="230">
        <f ca="1">INDEX('Filtering Practices'!$C$34:$E$41,MATCH(Y$3,'Filtering Practices'!$B$34:$B$41,0),MATCH($D13,'Filtering Practices'!$C$43:$E$43,0))</f>
        <v>647.26393676215423</v>
      </c>
      <c r="Z13" s="230">
        <f ca="1">INDEX('Filtering Practices'!$C$34:$E$41,MATCH(Z$3,'Filtering Practices'!$B$34:$B$41,0),MATCH($D13,'Filtering Practices'!$C$43:$E$43,0))</f>
        <v>1282.1654860433532</v>
      </c>
      <c r="AA13" s="230">
        <f ca="1">INDEX('Filtering Practices'!$C$34:$E$41,MATCH(AA$3,'Filtering Practices'!$B$34:$B$41,0),MATCH($D13,'Filtering Practices'!$C$43:$E$43,0))</f>
        <v>608.17039837783614</v>
      </c>
      <c r="AB13" s="230">
        <f ca="1">INDEX('Filtering Practices'!$C$34:$E$41,MATCH(AB$3,'Filtering Practices'!$B$34:$B$41,0),MATCH($D13,'Filtering Practices'!$C$43:$E$43,0))</f>
        <v>633.59917752017736</v>
      </c>
      <c r="AC13" s="230">
        <f ca="1">INDEX('Filtering Practices'!$C$34:$E$41,MATCH(AC$3,'Filtering Practices'!$B$34:$B$41,0),MATCH($D13,'Filtering Practices'!$C$43:$E$43,0))</f>
        <v>675.46751522672446</v>
      </c>
      <c r="AD13" s="230">
        <f ca="1">INDEX('Filtering Practices'!$C$34:$E$41,MATCH(AD$3,'Filtering Practices'!$B$34:$B$41,0),MATCH($D13,'Filtering Practices'!$C$43:$E$43,0))</f>
        <v>634.63590361490674</v>
      </c>
      <c r="AE13" s="230">
        <f ca="1">INDEX('Filtering Practices'!$C$34:$E$41,MATCH(AE$3,'Filtering Practices'!$B$34:$B$41,0),MATCH($D13,'Filtering Practices'!$C$43:$E$43,0))</f>
        <v>654.30562727154768</v>
      </c>
      <c r="AF13" s="230">
        <f ca="1">INDEX('Filtering Practices'!$C$34:$E$41,MATCH(AF$3,'Filtering Practices'!$B$34:$B$41,0),MATCH($D13,'Filtering Practices'!$C$43:$E$43,0))</f>
        <v>631.99313694644331</v>
      </c>
      <c r="AG13" s="89" t="s">
        <v>285</v>
      </c>
      <c r="AH13" s="230">
        <f ca="1">INDEX('Filtering Practices'!$C$44:$E$51,MATCH(AH$3,'Filtering Practices'!$B$44:$B$51,0),MATCH($D13,'Filtering Practices'!$C$43:$E$43,0))</f>
        <v>266.8158732048916</v>
      </c>
      <c r="AI13" s="230">
        <f ca="1">INDEX('Filtering Practices'!$C$44:$E$51,MATCH(AI$3,'Filtering Practices'!$B$44:$B$51,0),MATCH($D13,'Filtering Practices'!$C$43:$E$43,0))</f>
        <v>528.53570903880211</v>
      </c>
      <c r="AJ13" s="230">
        <f ca="1">INDEX('Filtering Practices'!$C$44:$E$51,MATCH(AJ$3,'Filtering Practices'!$B$44:$B$51,0),MATCH($D13,'Filtering Practices'!$C$43:$E$43,0))</f>
        <v>250.70069052862624</v>
      </c>
      <c r="AK13" s="230">
        <f ca="1">INDEX('Filtering Practices'!$C$44:$E$51,MATCH(AK$3,'Filtering Practices'!$B$44:$B$51,0),MATCH($D13,'Filtering Practices'!$C$43:$E$43,0))</f>
        <v>261.18297067131135</v>
      </c>
      <c r="AL13" s="230">
        <f ca="1">INDEX('Filtering Practices'!$C$44:$E$51,MATCH(AL$3,'Filtering Practices'!$B$44:$B$51,0),MATCH($D13,'Filtering Practices'!$C$43:$E$43,0))</f>
        <v>278.44198426735949</v>
      </c>
      <c r="AM13" s="230">
        <f ca="1">INDEX('Filtering Practices'!$C$44:$E$51,MATCH(AM$3,'Filtering Practices'!$B$44:$B$51,0),MATCH($D13,'Filtering Practices'!$C$43:$E$43,0))</f>
        <v>261.61033107643948</v>
      </c>
      <c r="AN13" s="230">
        <f ca="1">INDEX('Filtering Practices'!$C$44:$E$51,MATCH(AN$3,'Filtering Practices'!$B$44:$B$51,0),MATCH($D13,'Filtering Practices'!$C$43:$E$43,0))</f>
        <v>269.71860684319842</v>
      </c>
      <c r="AO13" s="230">
        <f ca="1">INDEX('Filtering Practices'!$C$44:$E$51,MATCH(AO$3,'Filtering Practices'!$B$44:$B$51,0),MATCH($D13,'Filtering Practices'!$C$43:$E$43,0))</f>
        <v>260.52092680675293</v>
      </c>
      <c r="AP13" s="89" t="s">
        <v>250</v>
      </c>
      <c r="AQ13" s="343" t="s">
        <v>283</v>
      </c>
      <c r="AR13" s="325" t="s">
        <v>64</v>
      </c>
    </row>
    <row r="14" spans="1:44">
      <c r="A14" s="341"/>
      <c r="B14" s="316"/>
      <c r="C14" s="87" t="s">
        <v>277</v>
      </c>
      <c r="D14" s="171" t="s">
        <v>18</v>
      </c>
      <c r="E14" s="36" t="str">
        <f>CONCATENATE(B13," ",D14)</f>
        <v>Urban Filtering Practices Median</v>
      </c>
      <c r="F14" s="88">
        <f ca="1">INDEX(INDIRECT($C14),MATCH(F$3,'Filtering Practices'!$B$14:$B$21,0),MATCH($D14,'Filtering Practices'!$C$13:$E$13,0))</f>
        <v>2874.6388448369653</v>
      </c>
      <c r="G14" s="6">
        <f ca="1">INDEX(INDIRECT($C14),MATCH(G$3,'Filtering Practices'!$B$14:$B$21,0),MATCH($D14,'Filtering Practices'!$C$13:$E$13,0))</f>
        <v>5694.3736586453342</v>
      </c>
      <c r="H14" s="6">
        <f ca="1">INDEX(INDIRECT($C14),MATCH(H$3,'Filtering Practices'!$B$14:$B$21,0),MATCH($D14,'Filtering Practices'!$C$13:$E$13,0))</f>
        <v>2701.0160031506975</v>
      </c>
      <c r="I14" s="6">
        <f ca="1">INDEX(INDIRECT($C14),MATCH(I$3,'Filtering Practices'!$B$14:$B$21,0),MATCH($D14,'Filtering Practices'!$C$13:$E$13,0))</f>
        <v>2813.9506997213412</v>
      </c>
      <c r="J14" s="6">
        <f ca="1">INDEX(INDIRECT($C14),MATCH(J$3,'Filtering Practices'!$B$14:$B$21,0),MATCH($D14,'Filtering Practices'!$C$13:$E$13,0))</f>
        <v>2999.8970240941435</v>
      </c>
      <c r="K14" s="6">
        <f ca="1">INDEX(INDIRECT($C14),MATCH(K$3,'Filtering Practices'!$B$14:$B$21,0),MATCH($D14,'Filtering Practices'!$C$13:$E$13,0))</f>
        <v>2818.5550240689531</v>
      </c>
      <c r="L14" s="6">
        <f ca="1">INDEX(INDIRECT($C14),MATCH(L$3,'Filtering Practices'!$B$14:$B$21,0),MATCH($D14,'Filtering Practices'!$C$13:$E$13,0))</f>
        <v>2905.9125122266259</v>
      </c>
      <c r="M14" s="6">
        <f ca="1">INDEX(INDIRECT($C14),MATCH(M$3,'Filtering Practices'!$B$14:$B$21,0),MATCH($D14,'Filtering Practices'!$C$13:$E$13,0))</f>
        <v>2806.8179268949502</v>
      </c>
      <c r="N14" s="9" t="s">
        <v>250</v>
      </c>
      <c r="O14" s="88">
        <f ca="1">INDEX('Filtering Practices'!$C$24:$E$31,MATCH(O$3,'Filtering Practices'!$B$24:$B$31,0),MATCH($D14,'Filtering Practices'!$C$23:$E$23,0))</f>
        <v>20925.567752810082</v>
      </c>
      <c r="P14" s="6">
        <f ca="1">INDEX('Filtering Practices'!$C$24:$E$31,MATCH(P$3,'Filtering Practices'!$B$24:$B$31,0),MATCH($D14,'Filtering Practices'!$C$23:$E$23,0))</f>
        <v>41451.468596764891</v>
      </c>
      <c r="Q14" s="6">
        <f ca="1">INDEX('Filtering Practices'!$C$24:$E$31,MATCH(Q$3,'Filtering Practices'!$B$24:$B$31,0),MATCH($D14,'Filtering Practices'!$C$23:$E$23,0))</f>
        <v>19661.70236545306</v>
      </c>
      <c r="R14" s="6">
        <f ca="1">INDEX('Filtering Practices'!$C$24:$E$31,MATCH(R$3,'Filtering Practices'!$B$24:$B$31,0),MATCH($D14,'Filtering Practices'!$C$23:$E$23,0))</f>
        <v>20483.796121326621</v>
      </c>
      <c r="S14" s="6">
        <f ca="1">INDEX('Filtering Practices'!$C$24:$E$31,MATCH(S$3,'Filtering Practices'!$B$24:$B$31,0),MATCH($D14,'Filtering Practices'!$C$23:$E$23,0))</f>
        <v>21837.368733078394</v>
      </c>
      <c r="T14" s="6">
        <f ca="1">INDEX('Filtering Practices'!$C$24:$E$31,MATCH(T$3,'Filtering Practices'!$B$24:$B$31,0),MATCH($D14,'Filtering Practices'!$C$23:$E$23,0))</f>
        <v>20517.312714642303</v>
      </c>
      <c r="U14" s="6">
        <f ca="1">INDEX('Filtering Practices'!$C$24:$E$31,MATCH(U$3,'Filtering Practices'!$B$24:$B$31,0),MATCH($D14,'Filtering Practices'!$C$23:$E$23,0))</f>
        <v>21153.22043586506</v>
      </c>
      <c r="V14" s="6">
        <f ca="1">INDEX('Filtering Practices'!$C$24:$E$31,MATCH(V$3,'Filtering Practices'!$B$24:$B$31,0),MATCH($D14,'Filtering Practices'!$C$23:$E$23,0))</f>
        <v>20431.874008984709</v>
      </c>
      <c r="W14" s="90">
        <f>W13</f>
        <v>20</v>
      </c>
      <c r="X14" s="89" t="s">
        <v>285</v>
      </c>
      <c r="Y14" s="230">
        <f ca="1">INDEX('Filtering Practices'!$C$34:$E$41,MATCH(Y$3,'Filtering Practices'!$B$34:$B$41,0),MATCH($D14,'Filtering Practices'!$C$43:$E$43,0))</f>
        <v>647.26393676215423</v>
      </c>
      <c r="Z14" s="230">
        <f ca="1">INDEX('Filtering Practices'!$C$34:$E$41,MATCH(Z$3,'Filtering Practices'!$B$34:$B$41,0),MATCH($D14,'Filtering Practices'!$C$43:$E$43,0))</f>
        <v>1282.1654860433532</v>
      </c>
      <c r="AA14" s="230">
        <f ca="1">INDEX('Filtering Practices'!$C$34:$E$41,MATCH(AA$3,'Filtering Practices'!$B$34:$B$41,0),MATCH($D14,'Filtering Practices'!$C$43:$E$43,0))</f>
        <v>608.17039837783614</v>
      </c>
      <c r="AB14" s="230">
        <f ca="1">INDEX('Filtering Practices'!$C$34:$E$41,MATCH(AB$3,'Filtering Practices'!$B$34:$B$41,0),MATCH($D14,'Filtering Practices'!$C$43:$E$43,0))</f>
        <v>633.59917752017736</v>
      </c>
      <c r="AC14" s="230">
        <f ca="1">INDEX('Filtering Practices'!$C$34:$E$41,MATCH(AC$3,'Filtering Practices'!$B$34:$B$41,0),MATCH($D14,'Filtering Practices'!$C$43:$E$43,0))</f>
        <v>675.46751522672446</v>
      </c>
      <c r="AD14" s="230">
        <f ca="1">INDEX('Filtering Practices'!$C$34:$E$41,MATCH(AD$3,'Filtering Practices'!$B$34:$B$41,0),MATCH($D14,'Filtering Practices'!$C$43:$E$43,0))</f>
        <v>634.63590361490674</v>
      </c>
      <c r="AE14" s="230">
        <f ca="1">INDEX('Filtering Practices'!$C$34:$E$41,MATCH(AE$3,'Filtering Practices'!$B$34:$B$41,0),MATCH($D14,'Filtering Practices'!$C$43:$E$43,0))</f>
        <v>654.30562727154768</v>
      </c>
      <c r="AF14" s="230">
        <f ca="1">INDEX('Filtering Practices'!$C$34:$E$41,MATCH(AF$3,'Filtering Practices'!$B$34:$B$41,0),MATCH($D14,'Filtering Practices'!$C$43:$E$43,0))</f>
        <v>631.99313694644331</v>
      </c>
      <c r="AG14" s="89" t="s">
        <v>285</v>
      </c>
      <c r="AH14" s="230">
        <f ca="1">INDEX('Filtering Practices'!$C$44:$E$51,MATCH(AH$3,'Filtering Practices'!$B$44:$B$51,0),MATCH($D14,'Filtering Practices'!$C$43:$E$43,0))</f>
        <v>854.10480623714625</v>
      </c>
      <c r="AI14" s="230">
        <f ca="1">INDEX('Filtering Practices'!$C$44:$E$51,MATCH(AI$3,'Filtering Practices'!$B$44:$B$51,0),MATCH($D14,'Filtering Practices'!$C$43:$E$43,0))</f>
        <v>1691.8966774189755</v>
      </c>
      <c r="AJ14" s="230">
        <f ca="1">INDEX('Filtering Practices'!$C$44:$E$51,MATCH(AJ$3,'Filtering Practices'!$B$44:$B$51,0),MATCH($D14,'Filtering Practices'!$C$43:$E$43,0))</f>
        <v>802.51846389604327</v>
      </c>
      <c r="AK14" s="230">
        <f ca="1">INDEX('Filtering Practices'!$C$44:$E$51,MATCH(AK$3,'Filtering Practices'!$B$44:$B$51,0),MATCH($D14,'Filtering Practices'!$C$43:$E$43,0))</f>
        <v>836.07331107455605</v>
      </c>
      <c r="AL14" s="230">
        <f ca="1">INDEX('Filtering Practices'!$C$44:$E$51,MATCH(AL$3,'Filtering Practices'!$B$44:$B$51,0),MATCH($D14,'Filtering Practices'!$C$43:$E$43,0))</f>
        <v>891.32117277871009</v>
      </c>
      <c r="AM14" s="230">
        <f ca="1">INDEX('Filtering Practices'!$C$44:$E$51,MATCH(AM$3,'Filtering Practices'!$B$44:$B$51,0),MATCH($D14,'Filtering Practices'!$C$43:$E$43,0))</f>
        <v>837.44133529152271</v>
      </c>
      <c r="AN14" s="230">
        <f ca="1">INDEX('Filtering Practices'!$C$44:$E$51,MATCH(AN$3,'Filtering Practices'!$B$44:$B$51,0),MATCH($D14,'Filtering Practices'!$C$43:$E$43,0))</f>
        <v>863.39675248428819</v>
      </c>
      <c r="AO14" s="230">
        <f ca="1">INDEX('Filtering Practices'!$C$44:$E$51,MATCH(AO$3,'Filtering Practices'!$B$44:$B$51,0),MATCH($D14,'Filtering Practices'!$C$43:$E$43,0))</f>
        <v>833.95404118304941</v>
      </c>
      <c r="AP14" s="89" t="s">
        <v>250</v>
      </c>
      <c r="AQ14" s="344"/>
      <c r="AR14" s="326"/>
    </row>
    <row r="15" spans="1:44">
      <c r="A15" s="342"/>
      <c r="B15" s="316"/>
      <c r="C15" s="87" t="s">
        <v>277</v>
      </c>
      <c r="D15" s="171" t="s">
        <v>208</v>
      </c>
      <c r="E15" s="36" t="str">
        <f>CONCATENATE(B13," ",D15)</f>
        <v>Urban Filtering Practices High</v>
      </c>
      <c r="F15" s="88">
        <f ca="1">INDEX(INDIRECT($C15),MATCH(F$3,'Filtering Practices'!$B$14:$B$21,0),MATCH($D15,'Filtering Practices'!$C$13:$E$13,0))</f>
        <v>4324.2978977886305</v>
      </c>
      <c r="G15" s="6">
        <f ca="1">INDEX(INDIRECT($C15),MATCH(G$3,'Filtering Practices'!$B$14:$B$21,0),MATCH($D15,'Filtering Practices'!$C$13:$E$13,0))</f>
        <v>8566.0040688344397</v>
      </c>
      <c r="H15" s="6">
        <f ca="1">INDEX(INDIRECT($C15),MATCH(H$3,'Filtering Practices'!$B$14:$B$21,0),MATCH($D15,'Filtering Practices'!$C$13:$E$13,0))</f>
        <v>4063.1183445169236</v>
      </c>
      <c r="I15" s="6">
        <f ca="1">INDEX(INDIRECT($C15),MATCH(I$3,'Filtering Practices'!$B$14:$B$21,0),MATCH($D15,'Filtering Practices'!$C$13:$E$13,0))</f>
        <v>4233.0051711160158</v>
      </c>
      <c r="J15" s="6">
        <f ca="1">INDEX(INDIRECT($C15),MATCH(J$3,'Filtering Practices'!$B$14:$B$21,0),MATCH($D15,'Filtering Practices'!$C$13:$E$13,0))</f>
        <v>4512.7228480099402</v>
      </c>
      <c r="K15" s="6">
        <f ca="1">INDEX(INDIRECT($C15),MATCH(K$3,'Filtering Practices'!$B$14:$B$21,0),MATCH($D15,'Filtering Practices'!$C$13:$E$13,0))</f>
        <v>4239.9314220893766</v>
      </c>
      <c r="L15" s="6">
        <f ca="1">INDEX(INDIRECT($C15),MATCH(L$3,'Filtering Practices'!$B$14:$B$21,0),MATCH($D15,'Filtering Practices'!$C$13:$E$13,0))</f>
        <v>4371.3426437372027</v>
      </c>
      <c r="M15" s="6">
        <f ca="1">INDEX(INDIRECT($C15),MATCH(M$3,'Filtering Practices'!$B$14:$B$21,0),MATCH($D15,'Filtering Practices'!$C$13:$E$13,0))</f>
        <v>4222.275393845398</v>
      </c>
      <c r="N15" s="9" t="s">
        <v>250</v>
      </c>
      <c r="O15" s="88">
        <f ca="1">INDEX('Filtering Practices'!$C$24:$E$31,MATCH(O$3,'Filtering Practices'!$B$24:$B$31,0),MATCH($D15,'Filtering Practices'!$C$23:$E$23,0))</f>
        <v>32888.180249806261</v>
      </c>
      <c r="P15" s="6">
        <f ca="1">INDEX('Filtering Practices'!$C$24:$E$31,MATCH(P$3,'Filtering Practices'!$B$24:$B$31,0),MATCH($D15,'Filtering Practices'!$C$23:$E$23,0))</f>
        <v>65148.214229289712</v>
      </c>
      <c r="Q15" s="6">
        <f ca="1">INDEX('Filtering Practices'!$C$24:$E$31,MATCH(Q$3,'Filtering Practices'!$B$24:$B$31,0),MATCH($D15,'Filtering Practices'!$C$23:$E$23,0))</f>
        <v>30901.795308575354</v>
      </c>
      <c r="R15" s="6">
        <f ca="1">INDEX('Filtering Practices'!$C$24:$E$31,MATCH(R$3,'Filtering Practices'!$B$24:$B$31,0),MATCH($D15,'Filtering Practices'!$C$23:$E$23,0))</f>
        <v>32193.859062581701</v>
      </c>
      <c r="S15" s="6">
        <f ca="1">INDEX('Filtering Practices'!$C$24:$E$31,MATCH(S$3,'Filtering Practices'!$B$24:$B$31,0),MATCH($D15,'Filtering Practices'!$C$23:$E$23,0))</f>
        <v>34321.234556635631</v>
      </c>
      <c r="T15" s="6">
        <f ca="1">INDEX('Filtering Practices'!$C$24:$E$31,MATCH(T$3,'Filtering Practices'!$B$24:$B$31,0),MATCH($D15,'Filtering Practices'!$C$23:$E$23,0))</f>
        <v>32246.536236044656</v>
      </c>
      <c r="U15" s="6">
        <f ca="1">INDEX('Filtering Practices'!$C$24:$E$31,MATCH(U$3,'Filtering Practices'!$B$24:$B$31,0),MATCH($D15,'Filtering Practices'!$C$23:$E$23,0))</f>
        <v>33245.976155901022</v>
      </c>
      <c r="V15" s="6">
        <f ca="1">INDEX('Filtering Practices'!$C$24:$E$31,MATCH(V$3,'Filtering Practices'!$B$24:$B$31,0),MATCH($D15,'Filtering Practices'!$C$23:$E$23,0))</f>
        <v>32112.254405072599</v>
      </c>
      <c r="W15" s="90">
        <f>W13</f>
        <v>20</v>
      </c>
      <c r="X15" s="89" t="s">
        <v>285</v>
      </c>
      <c r="Y15" s="230">
        <f ca="1">INDEX('Filtering Practices'!$C$34:$E$41,MATCH(Y$3,'Filtering Practices'!$B$34:$B$41,0),MATCH($D15,'Filtering Practices'!$C$43:$E$43,0))</f>
        <v>647.26393676215423</v>
      </c>
      <c r="Z15" s="230">
        <f ca="1">INDEX('Filtering Practices'!$C$34:$E$41,MATCH(Z$3,'Filtering Practices'!$B$34:$B$41,0),MATCH($D15,'Filtering Practices'!$C$43:$E$43,0))</f>
        <v>1282.1654860433532</v>
      </c>
      <c r="AA15" s="230">
        <f ca="1">INDEX('Filtering Practices'!$C$34:$E$41,MATCH(AA$3,'Filtering Practices'!$B$34:$B$41,0),MATCH($D15,'Filtering Practices'!$C$43:$E$43,0))</f>
        <v>608.17039837783614</v>
      </c>
      <c r="AB15" s="230">
        <f ca="1">INDEX('Filtering Practices'!$C$34:$E$41,MATCH(AB$3,'Filtering Practices'!$B$34:$B$41,0),MATCH($D15,'Filtering Practices'!$C$43:$E$43,0))</f>
        <v>633.59917752017736</v>
      </c>
      <c r="AC15" s="230">
        <f ca="1">INDEX('Filtering Practices'!$C$34:$E$41,MATCH(AC$3,'Filtering Practices'!$B$34:$B$41,0),MATCH($D15,'Filtering Practices'!$C$43:$E$43,0))</f>
        <v>675.46751522672446</v>
      </c>
      <c r="AD15" s="230">
        <f ca="1">INDEX('Filtering Practices'!$C$34:$E$41,MATCH(AD$3,'Filtering Practices'!$B$34:$B$41,0),MATCH($D15,'Filtering Practices'!$C$43:$E$43,0))</f>
        <v>634.63590361490674</v>
      </c>
      <c r="AE15" s="230">
        <f ca="1">INDEX('Filtering Practices'!$C$34:$E$41,MATCH(AE$3,'Filtering Practices'!$B$34:$B$41,0),MATCH($D15,'Filtering Practices'!$C$43:$E$43,0))</f>
        <v>654.30562727154768</v>
      </c>
      <c r="AF15" s="230">
        <f ca="1">INDEX('Filtering Practices'!$C$34:$E$41,MATCH(AF$3,'Filtering Practices'!$B$34:$B$41,0),MATCH($D15,'Filtering Practices'!$C$43:$E$43,0))</f>
        <v>631.99313694644331</v>
      </c>
      <c r="AG15" s="89" t="s">
        <v>285</v>
      </c>
      <c r="AH15" s="230">
        <f ca="1">INDEX('Filtering Practices'!$C$44:$E$51,MATCH(AH$3,'Filtering Practices'!$B$44:$B$51,0),MATCH($D15,'Filtering Practices'!$C$43:$E$43,0))</f>
        <v>1174.5778660645094</v>
      </c>
      <c r="AI15" s="230">
        <f ca="1">INDEX('Filtering Practices'!$C$44:$E$51,MATCH(AI$3,'Filtering Practices'!$B$44:$B$51,0),MATCH($D15,'Filtering Practices'!$C$43:$E$43,0))</f>
        <v>2326.7219367603466</v>
      </c>
      <c r="AJ15" s="230">
        <f ca="1">INDEX('Filtering Practices'!$C$44:$E$51,MATCH(AJ$3,'Filtering Practices'!$B$44:$B$51,0),MATCH($D15,'Filtering Practices'!$C$43:$E$43,0))</f>
        <v>1103.6355467348342</v>
      </c>
      <c r="AK15" s="230">
        <f ca="1">INDEX('Filtering Practices'!$C$44:$E$51,MATCH(AK$3,'Filtering Practices'!$B$44:$B$51,0),MATCH($D15,'Filtering Practices'!$C$43:$E$43,0))</f>
        <v>1149.7806808064895</v>
      </c>
      <c r="AL15" s="230">
        <f ca="1">INDEX('Filtering Practices'!$C$44:$E$51,MATCH(AL$3,'Filtering Practices'!$B$44:$B$51,0),MATCH($D15,'Filtering Practices'!$C$43:$E$43,0))</f>
        <v>1225.7583770227013</v>
      </c>
      <c r="AM15" s="230">
        <f ca="1">INDEX('Filtering Practices'!$C$44:$E$51,MATCH(AM$3,'Filtering Practices'!$B$44:$B$51,0),MATCH($D15,'Filtering Practices'!$C$43:$E$43,0))</f>
        <v>1151.6620084301662</v>
      </c>
      <c r="AN15" s="230">
        <f ca="1">INDEX('Filtering Practices'!$C$44:$E$51,MATCH(AN$3,'Filtering Practices'!$B$44:$B$51,0),MATCH($D15,'Filtering Practices'!$C$43:$E$43,0))</f>
        <v>1187.3562912821794</v>
      </c>
      <c r="AO15" s="230">
        <f ca="1">INDEX('Filtering Practices'!$C$44:$E$51,MATCH(AO$3,'Filtering Practices'!$B$44:$B$51,0),MATCH($D15,'Filtering Practices'!$C$43:$E$43,0))</f>
        <v>1146.8662287525929</v>
      </c>
      <c r="AP15" s="89" t="s">
        <v>250</v>
      </c>
      <c r="AQ15" s="345"/>
      <c r="AR15" s="326"/>
    </row>
    <row r="16" spans="1:44">
      <c r="A16" s="340">
        <v>5</v>
      </c>
      <c r="B16" s="319" t="s">
        <v>5</v>
      </c>
      <c r="C16" s="87" t="s">
        <v>278</v>
      </c>
      <c r="D16" s="171" t="s">
        <v>207</v>
      </c>
      <c r="E16" s="36" t="str">
        <f>CONCATENATE(B16," ",D16)</f>
        <v>Urban Infiltration Practices with sand/vegetation Low</v>
      </c>
      <c r="F16" s="88">
        <f ca="1">INDEX(INDIRECT($C16),MATCH(F$3,Infiltration!$B$15:$B$22,0),MATCH($D16,Infiltration!$C$14:$E$14,0))</f>
        <v>1399.2673017768766</v>
      </c>
      <c r="G16" s="6">
        <f ca="1">INDEX(INDIRECT($C16),MATCH(G$3,Infiltration!$B$15:$B$22,0),MATCH($D16,Infiltration!$C$14:$E$14,0))</f>
        <v>2771.8093627493163</v>
      </c>
      <c r="H16" s="6">
        <f ca="1">INDEX(INDIRECT($C16),MATCH(H$3,Infiltration!$B$15:$B$22,0),MATCH($D16,Infiltration!$C$14:$E$14,0))</f>
        <v>1314.7541582738165</v>
      </c>
      <c r="I16" s="6">
        <f ca="1">INDEX(INDIRECT($C16),MATCH(I$3,Infiltration!$B$15:$B$22,0),MATCH($D16,Infiltration!$C$14:$E$14,0))</f>
        <v>1369.7265693059778</v>
      </c>
      <c r="J16" s="6">
        <f ca="1">INDEX(INDIRECT($C16),MATCH(J$3,Infiltration!$B$15:$B$22,0),MATCH($D16,Infiltration!$C$14:$E$14,0))</f>
        <v>1460.2383259559565</v>
      </c>
      <c r="K16" s="6">
        <f ca="1">INDEX(INDIRECT($C16),MATCH(K$3,Infiltration!$B$15:$B$22,0),MATCH($D16,Infiltration!$C$14:$E$14,0))</f>
        <v>1371.967783195493</v>
      </c>
      <c r="L16" s="6">
        <f ca="1">INDEX(INDIRECT($C16),MATCH(L$3,Infiltration!$B$15:$B$22,0),MATCH($D16,Infiltration!$C$14:$E$14,0))</f>
        <v>1414.490160211283</v>
      </c>
      <c r="M16" s="6">
        <f ca="1">INDEX(INDIRECT($C16),MATCH(M$3,Infiltration!$B$15:$B$22,0),MATCH($D16,Infiltration!$C$14:$E$14,0))</f>
        <v>1366.2546007124629</v>
      </c>
      <c r="N16" s="9" t="s">
        <v>250</v>
      </c>
      <c r="O16" s="88">
        <f ca="1">INDEX(Infiltration!$C$25:$E$32,MATCH(O$3,Infiltration!$B$25:$B$32,0),MATCH($D16,Infiltration!$C$24:$E$24,0))</f>
        <v>9215.0705299441506</v>
      </c>
      <c r="P16" s="6">
        <f ca="1">INDEX(Infiltration!$C$25:$E$32,MATCH(P$3,Infiltration!$B$25:$B$32,0),MATCH($D16,Infiltration!$C$24:$E$24,0))</f>
        <v>18254.138248538467</v>
      </c>
      <c r="Q16" s="6">
        <f ca="1">INDEX(Infiltration!$C$25:$E$32,MATCH(Q$3,Infiltration!$B$25:$B$32,0),MATCH($D16,Infiltration!$C$24:$E$24,0))</f>
        <v>8658.497402637433</v>
      </c>
      <c r="R16" s="6">
        <f ca="1">INDEX(Infiltration!$C$25:$E$32,MATCH(R$3,Infiltration!$B$25:$B$32,0),MATCH($D16,Infiltration!$C$24:$E$24,0))</f>
        <v>9020.5259044248796</v>
      </c>
      <c r="S16" s="6">
        <f ca="1">INDEX(Infiltration!$C$25:$E$32,MATCH(S$3,Infiltration!$B$25:$B$32,0),MATCH($D16,Infiltration!$C$24:$E$24,0))</f>
        <v>9616.6037376305412</v>
      </c>
      <c r="T16" s="6">
        <f ca="1">INDEX(Infiltration!$C$25:$E$32,MATCH(T$3,Infiltration!$B$25:$B$32,0),MATCH($D16,Infiltration!$C$24:$E$24,0))</f>
        <v>9035.2857319705854</v>
      </c>
      <c r="U16" s="6">
        <f ca="1">INDEX(Infiltration!$C$25:$E$32,MATCH(U$3,Infiltration!$B$25:$B$32,0),MATCH($D16,Infiltration!$C$24:$E$24,0))</f>
        <v>9315.3227933696398</v>
      </c>
      <c r="V16" s="6">
        <f ca="1">INDEX(Infiltration!$C$25:$E$32,MATCH(V$3,Infiltration!$B$25:$B$32,0),MATCH($D16,Infiltration!$C$24:$E$24,0))</f>
        <v>8997.660769631575</v>
      </c>
      <c r="W16" s="90">
        <f>Infiltration!C4</f>
        <v>20</v>
      </c>
      <c r="X16" s="89" t="s">
        <v>285</v>
      </c>
      <c r="Y16" s="230">
        <f ca="1">INDEX(Infiltration!$C$35:$E$42,MATCH(Y$3,Infiltration!$B$35:$B$42,0),MATCH($D16,Infiltration!$C$44:$E$44,0))</f>
        <v>1294.5278735243085</v>
      </c>
      <c r="Z16" s="230">
        <f ca="1">INDEX(Infiltration!$C$35:$E$42,MATCH(Z$3,Infiltration!$B$35:$B$42,0),MATCH($D16,Infiltration!$C$44:$E$44,0))</f>
        <v>2564.3309720867064</v>
      </c>
      <c r="AA16" s="230">
        <f ca="1">INDEX(Infiltration!$C$35:$E$42,MATCH(AA$3,Infiltration!$B$35:$B$42,0),MATCH($D16,Infiltration!$C$44:$E$44,0))</f>
        <v>1216.3407967556723</v>
      </c>
      <c r="AB16" s="230">
        <f ca="1">INDEX(Infiltration!$C$35:$E$42,MATCH(AB$3,Infiltration!$B$35:$B$42,0),MATCH($D16,Infiltration!$C$44:$E$44,0))</f>
        <v>1267.1983550403547</v>
      </c>
      <c r="AC16" s="230">
        <f ca="1">INDEX(Infiltration!$C$35:$E$42,MATCH(AC$3,Infiltration!$B$35:$B$42,0),MATCH($D16,Infiltration!$C$44:$E$44,0))</f>
        <v>1350.9350304534489</v>
      </c>
      <c r="AD16" s="230">
        <f ca="1">INDEX(Infiltration!$C$35:$E$42,MATCH(AD$3,Infiltration!$B$35:$B$42,0),MATCH($D16,Infiltration!$C$44:$E$44,0))</f>
        <v>1269.2718072298135</v>
      </c>
      <c r="AE16" s="230">
        <f ca="1">INDEX(Infiltration!$C$35:$E$42,MATCH(AE$3,Infiltration!$B$35:$B$42,0),MATCH($D16,Infiltration!$C$44:$E$44,0))</f>
        <v>1308.6112545430954</v>
      </c>
      <c r="AF16" s="230">
        <f ca="1">INDEX(Infiltration!$C$35:$E$42,MATCH(AF$3,Infiltration!$B$35:$B$42,0),MATCH($D16,Infiltration!$C$44:$E$44,0))</f>
        <v>1263.9862738928866</v>
      </c>
      <c r="AG16" s="89" t="s">
        <v>285</v>
      </c>
      <c r="AH16" s="230">
        <f ca="1">INDEX(Infiltration!$C$45:$E$52,MATCH(AH$3,Infiltration!$B$45:$B$52,0),MATCH($D16,Infiltration!$C$44:$E$44,0))</f>
        <v>438.8128823782929</v>
      </c>
      <c r="AI16" s="6">
        <f ca="1">INDEX(Infiltration!$C$45:$E$52,MATCH(AI$3,Infiltration!$B$45:$B$52,0),MATCH($D16,Infiltration!$C$44:$E$44,0))</f>
        <v>869.2446785018318</v>
      </c>
      <c r="AJ16" s="6">
        <f ca="1">INDEX(Infiltration!$C$45:$E$52,MATCH(AJ$3,Infiltration!$B$45:$B$52,0),MATCH($D16,Infiltration!$C$44:$E$44,0))</f>
        <v>412.30940012559199</v>
      </c>
      <c r="AK16" s="6">
        <f ca="1">INDEX(Infiltration!$C$45:$E$52,MATCH(AK$3,Infiltration!$B$45:$B$52,0),MATCH($D16,Infiltration!$C$44:$E$44,0))</f>
        <v>429.54885259166093</v>
      </c>
      <c r="AL16" s="6">
        <f ca="1">INDEX(Infiltration!$C$45:$E$52,MATCH(AL$3,Infiltration!$B$45:$B$52,0),MATCH($D16,Infiltration!$C$44:$E$44,0))</f>
        <v>457.93351131574008</v>
      </c>
      <c r="AM16" s="6">
        <f ca="1">INDEX(Infiltration!$C$45:$E$52,MATCH(AM$3,Infiltration!$B$45:$B$52,0),MATCH($D16,Infiltration!$C$44:$E$44,0))</f>
        <v>430.25170152240884</v>
      </c>
      <c r="AN16" s="6">
        <f ca="1">INDEX(Infiltration!$C$45:$E$52,MATCH(AN$3,Infiltration!$B$45:$B$52,0),MATCH($D16,Infiltration!$C$44:$E$44,0))</f>
        <v>443.58679968426861</v>
      </c>
      <c r="AO16" s="6">
        <f ca="1">INDEX(Infiltration!$C$45:$E$52,MATCH(AO$3,Infiltration!$B$45:$B$52,0),MATCH($D16,Infiltration!$C$44:$E$44,0))</f>
        <v>428.46003664912269</v>
      </c>
      <c r="AP16" s="89" t="s">
        <v>250</v>
      </c>
      <c r="AQ16" s="343" t="s">
        <v>283</v>
      </c>
      <c r="AR16" s="325" t="s">
        <v>73</v>
      </c>
    </row>
    <row r="17" spans="1:44">
      <c r="A17" s="341"/>
      <c r="B17" s="316"/>
      <c r="C17" s="87" t="s">
        <v>278</v>
      </c>
      <c r="D17" s="171" t="s">
        <v>18</v>
      </c>
      <c r="E17" s="36" t="str">
        <f>CONCATENATE(B16," ",D17)</f>
        <v>Urban Infiltration Practices with sand/vegetation Median</v>
      </c>
      <c r="F17" s="88">
        <f ca="1">INDEX(INDIRECT($C17),MATCH(F$3,Infiltration!$B$15:$B$22,0),MATCH($D17,Infiltration!$C$14:$E$14,0))</f>
        <v>1945.9953860682801</v>
      </c>
      <c r="G17" s="6">
        <f ca="1">INDEX(INDIRECT($C17),MATCH(G$3,Infiltration!$B$15:$B$22,0),MATCH($D17,Infiltration!$C$14:$E$14,0))</f>
        <v>3854.8233236933952</v>
      </c>
      <c r="H17" s="6">
        <f ca="1">INDEX(INDIRECT($C17),MATCH(H$3,Infiltration!$B$15:$B$22,0),MATCH($D17,Infiltration!$C$14:$E$14,0))</f>
        <v>1828.4608827534114</v>
      </c>
      <c r="I17" s="6">
        <f ca="1">INDEX(INDIRECT($C17),MATCH(I$3,Infiltration!$B$15:$B$22,0),MATCH($D17,Infiltration!$C$14:$E$14,0))</f>
        <v>1904.9123642493273</v>
      </c>
      <c r="J17" s="6">
        <f ca="1">INDEX(INDIRECT($C17),MATCH(J$3,Infiltration!$B$15:$B$22,0),MATCH($D17,Infiltration!$C$14:$E$14,0))</f>
        <v>2030.7892861227431</v>
      </c>
      <c r="K17" s="6">
        <f ca="1">INDEX(INDIRECT($C17),MATCH(K$3,Infiltration!$B$15:$B$22,0),MATCH($D17,Infiltration!$C$14:$E$14,0))</f>
        <v>1908.0292754232325</v>
      </c>
      <c r="L17" s="6">
        <f ca="1">INDEX(INDIRECT($C17),MATCH(L$3,Infiltration!$B$15:$B$22,0),MATCH($D17,Infiltration!$C$14:$E$14,0))</f>
        <v>1967.1661889867125</v>
      </c>
      <c r="M17" s="6">
        <f ca="1">INDEX(INDIRECT($C17),MATCH(M$3,Infiltration!$B$15:$B$22,0),MATCH($D17,Infiltration!$C$14:$E$14,0))</f>
        <v>1900.0838122957625</v>
      </c>
      <c r="N17" s="9" t="s">
        <v>250</v>
      </c>
      <c r="O17" s="88">
        <f ca="1">INDEX(Infiltration!$C$25:$E$32,MATCH(O$3,Infiltration!$B$25:$B$32,0),MATCH($D17,Infiltration!$C$24:$E$24,0))</f>
        <v>13722.274206231741</v>
      </c>
      <c r="P17" s="6">
        <f ca="1">INDEX(Infiltration!$C$25:$E$32,MATCH(P$3,Infiltration!$B$25:$B$32,0),MATCH($D17,Infiltration!$C$24:$E$24,0))</f>
        <v>27182.460473954263</v>
      </c>
      <c r="Q17" s="6">
        <f ca="1">INDEX(Infiltration!$C$25:$E$32,MATCH(Q$3,Infiltration!$B$25:$B$32,0),MATCH($D17,Infiltration!$C$24:$E$24,0))</f>
        <v>12893.474356691249</v>
      </c>
      <c r="R17" s="6">
        <f ca="1">INDEX(Infiltration!$C$25:$E$32,MATCH(R$3,Infiltration!$B$25:$B$32,0),MATCH($D17,Infiltration!$C$24:$E$24,0))</f>
        <v>13432.575425517114</v>
      </c>
      <c r="S17" s="6">
        <f ca="1">INDEX(Infiltration!$C$25:$E$32,MATCH(S$3,Infiltration!$B$25:$B$32,0),MATCH($D17,Infiltration!$C$24:$E$24,0))</f>
        <v>14320.202215667588</v>
      </c>
      <c r="T17" s="6">
        <f ca="1">INDEX(Infiltration!$C$25:$E$32,MATCH(T$3,Infiltration!$B$25:$B$32,0),MATCH($D17,Infiltration!$C$24:$E$24,0))</f>
        <v>13454.554465195728</v>
      </c>
      <c r="U17" s="6">
        <f ca="1">INDEX(Infiltration!$C$25:$E$32,MATCH(U$3,Infiltration!$B$25:$B$32,0),MATCH($D17,Infiltration!$C$24:$E$24,0))</f>
        <v>13871.561077563834</v>
      </c>
      <c r="V17" s="6">
        <f ca="1">INDEX(Infiltration!$C$25:$E$32,MATCH(V$3,Infiltration!$B$25:$B$32,0),MATCH($D17,Infiltration!$C$24:$E$24,0))</f>
        <v>13398.526673705979</v>
      </c>
      <c r="W17" s="90">
        <f>W16</f>
        <v>20</v>
      </c>
      <c r="X17" s="89" t="s">
        <v>285</v>
      </c>
      <c r="Y17" s="230">
        <f ca="1">INDEX(Infiltration!$C$35:$E$42,MATCH(Y$3,Infiltration!$B$35:$B$42,0),MATCH($D17,Infiltration!$C$44:$E$44,0))</f>
        <v>1294.5278735243085</v>
      </c>
      <c r="Z17" s="230">
        <f ca="1">INDEX(Infiltration!$C$35:$E$42,MATCH(Z$3,Infiltration!$B$35:$B$42,0),MATCH($D17,Infiltration!$C$44:$E$44,0))</f>
        <v>2564.3309720867064</v>
      </c>
      <c r="AA17" s="230">
        <f ca="1">INDEX(Infiltration!$C$35:$E$42,MATCH(AA$3,Infiltration!$B$35:$B$42,0),MATCH($D17,Infiltration!$C$44:$E$44,0))</f>
        <v>1216.3407967556723</v>
      </c>
      <c r="AB17" s="230">
        <f ca="1">INDEX(Infiltration!$C$35:$E$42,MATCH(AB$3,Infiltration!$B$35:$B$42,0),MATCH($D17,Infiltration!$C$44:$E$44,0))</f>
        <v>1267.1983550403547</v>
      </c>
      <c r="AC17" s="230">
        <f ca="1">INDEX(Infiltration!$C$35:$E$42,MATCH(AC$3,Infiltration!$B$35:$B$42,0),MATCH($D17,Infiltration!$C$44:$E$44,0))</f>
        <v>1350.9350304534489</v>
      </c>
      <c r="AD17" s="230">
        <f ca="1">INDEX(Infiltration!$C$35:$E$42,MATCH(AD$3,Infiltration!$B$35:$B$42,0),MATCH($D17,Infiltration!$C$44:$E$44,0))</f>
        <v>1269.2718072298135</v>
      </c>
      <c r="AE17" s="230">
        <f ca="1">INDEX(Infiltration!$C$35:$E$42,MATCH(AE$3,Infiltration!$B$35:$B$42,0),MATCH($D17,Infiltration!$C$44:$E$44,0))</f>
        <v>1308.6112545430954</v>
      </c>
      <c r="AF17" s="230">
        <f ca="1">INDEX(Infiltration!$C$35:$E$42,MATCH(AF$3,Infiltration!$B$35:$B$42,0),MATCH($D17,Infiltration!$C$44:$E$44,0))</f>
        <v>1263.9862738928866</v>
      </c>
      <c r="AG17" s="89" t="s">
        <v>285</v>
      </c>
      <c r="AH17" s="230">
        <f ca="1">INDEX(Infiltration!$C$45:$E$52,MATCH(AH$3,Infiltration!$B$45:$B$52,0),MATCH($D17,Infiltration!$C$44:$E$44,0))</f>
        <v>560.09282474415272</v>
      </c>
      <c r="AI17" s="6">
        <f ca="1">INDEX(Infiltration!$C$45:$E$52,MATCH(AI$3,Infiltration!$B$45:$B$52,0),MATCH($D17,Infiltration!$C$44:$E$44,0))</f>
        <v>1109.4881826103781</v>
      </c>
      <c r="AJ17" s="6">
        <f ca="1">INDEX(Infiltration!$C$45:$E$52,MATCH(AJ$3,Infiltration!$B$45:$B$52,0),MATCH($D17,Infiltration!$C$44:$E$44,0))</f>
        <v>526.26425945678568</v>
      </c>
      <c r="AK17" s="6">
        <f ca="1">INDEX(Infiltration!$C$45:$E$52,MATCH(AK$3,Infiltration!$B$45:$B$52,0),MATCH($D17,Infiltration!$C$44:$E$44,0))</f>
        <v>548.26838471498422</v>
      </c>
      <c r="AL17" s="6">
        <f ca="1">INDEX(Infiltration!$C$45:$E$52,MATCH(AL$3,Infiltration!$B$45:$B$52,0),MATCH($D17,Infiltration!$C$44:$E$44,0))</f>
        <v>584.49804961908524</v>
      </c>
      <c r="AM17" s="6">
        <f ca="1">INDEX(Infiltration!$C$45:$E$52,MATCH(AM$3,Infiltration!$B$45:$B$52,0),MATCH($D17,Infiltration!$C$44:$E$44,0))</f>
        <v>549.16548837533583</v>
      </c>
      <c r="AN17" s="6">
        <f ca="1">INDEX(Infiltration!$C$45:$E$52,MATCH(AN$3,Infiltration!$B$45:$B$52,0),MATCH($D17,Infiltration!$C$44:$E$44,0))</f>
        <v>566.18616643117696</v>
      </c>
      <c r="AO17" s="6">
        <f ca="1">INDEX(Infiltration!$C$45:$E$52,MATCH(AO$3,Infiltration!$B$45:$B$52,0),MATCH($D17,Infiltration!$C$44:$E$44,0))</f>
        <v>546.87863974310119</v>
      </c>
      <c r="AP17" s="89" t="s">
        <v>250</v>
      </c>
      <c r="AQ17" s="344"/>
      <c r="AR17" s="326"/>
    </row>
    <row r="18" spans="1:44">
      <c r="A18" s="342"/>
      <c r="B18" s="320"/>
      <c r="C18" s="87" t="s">
        <v>278</v>
      </c>
      <c r="D18" s="171" t="s">
        <v>208</v>
      </c>
      <c r="E18" s="36" t="str">
        <f>CONCATENATE(B16," ",D18)</f>
        <v>Urban Infiltration Practices with sand/vegetation High</v>
      </c>
      <c r="F18" s="88">
        <f ca="1">INDEX(INDIRECT($C18),MATCH(F$3,Infiltration!$B$15:$B$22,0),MATCH($D18,Infiltration!$C$14:$E$14,0))</f>
        <v>3444.4556566064248</v>
      </c>
      <c r="G18" s="6">
        <f ca="1">INDEX(INDIRECT($C18),MATCH(G$3,Infiltration!$B$15:$B$22,0),MATCH($D18,Infiltration!$C$14:$E$14,0))</f>
        <v>6823.1240924680242</v>
      </c>
      <c r="H18" s="6">
        <f ca="1">INDEX(INDIRECT($C18),MATCH(H$3,Infiltration!$B$15:$B$22,0),MATCH($D18,Infiltration!$C$14:$E$14,0))</f>
        <v>3236.4169388953437</v>
      </c>
      <c r="I18" s="6">
        <f ca="1">INDEX(INDIRECT($C18),MATCH(I$3,Infiltration!$B$15:$B$22,0),MATCH($D18,Infiltration!$C$14:$E$14,0))</f>
        <v>3371.7377828088497</v>
      </c>
      <c r="J18" s="6">
        <f ca="1">INDEX(INDIRECT($C18),MATCH(J$3,Infiltration!$B$15:$B$22,0),MATCH($D18,Infiltration!$C$14:$E$14,0))</f>
        <v>3594.5427692374656</v>
      </c>
      <c r="K18" s="6">
        <f ca="1">INDEX(INDIRECT($C18),MATCH(K$3,Infiltration!$B$15:$B$22,0),MATCH($D18,Infiltration!$C$14:$E$14,0))</f>
        <v>3377.2547857786199</v>
      </c>
      <c r="L18" s="6">
        <f ca="1">INDEX(INDIRECT($C18),MATCH(L$3,Infiltration!$B$15:$B$22,0),MATCH($D18,Infiltration!$C$14:$E$14,0))</f>
        <v>3481.9284545325431</v>
      </c>
      <c r="M18" s="6">
        <f ca="1">INDEX(INDIRECT($C18),MATCH(M$3,Infiltration!$B$15:$B$22,0),MATCH($D18,Infiltration!$C$14:$E$14,0))</f>
        <v>3363.1911371134161</v>
      </c>
      <c r="N18" s="9" t="s">
        <v>250</v>
      </c>
      <c r="O18" s="88">
        <f ca="1">INDEX(Infiltration!$C$25:$E$32,MATCH(O$3,Infiltration!$B$25:$B$32,0),MATCH($D18,Infiltration!$C$24:$E$24,0))</f>
        <v>25777.500477398207</v>
      </c>
      <c r="P18" s="6">
        <f ca="1">INDEX(Infiltration!$C$25:$E$32,MATCH(P$3,Infiltration!$B$25:$B$32,0),MATCH($D18,Infiltration!$C$24:$E$24,0))</f>
        <v>51062.664782343774</v>
      </c>
      <c r="Q18" s="6">
        <f ca="1">INDEX(Infiltration!$C$25:$E$32,MATCH(Q$3,Infiltration!$B$25:$B$32,0),MATCH($D18,Infiltration!$C$24:$E$24,0))</f>
        <v>24220.587374211907</v>
      </c>
      <c r="R18" s="6">
        <f ca="1">INDEX(Infiltration!$C$25:$E$32,MATCH(R$3,Infiltration!$B$25:$B$32,0),MATCH($D18,Infiltration!$C$24:$E$24,0))</f>
        <v>25233.296918575455</v>
      </c>
      <c r="S18" s="6">
        <f ca="1">INDEX(Infiltration!$C$25:$E$32,MATCH(S$3,Infiltration!$B$25:$B$32,0),MATCH($D18,Infiltration!$C$24:$E$24,0))</f>
        <v>26900.717323020104</v>
      </c>
      <c r="T18" s="6">
        <f ca="1">INDEX(Infiltration!$C$25:$E$32,MATCH(T$3,Infiltration!$B$25:$B$32,0),MATCH($D18,Infiltration!$C$24:$E$24,0))</f>
        <v>25274.584878376674</v>
      </c>
      <c r="U18" s="6">
        <f ca="1">INDEX(Infiltration!$C$25:$E$32,MATCH(U$3,Infiltration!$B$25:$B$32,0),MATCH($D18,Infiltration!$C$24:$E$24,0))</f>
        <v>26057.938132206527</v>
      </c>
      <c r="V18" s="6">
        <f ca="1">INDEX(Infiltration!$C$25:$E$32,MATCH(V$3,Infiltration!$B$25:$B$32,0),MATCH($D18,Infiltration!$C$24:$E$24,0))</f>
        <v>25169.335821247452</v>
      </c>
      <c r="W18" s="90">
        <f>W16</f>
        <v>20</v>
      </c>
      <c r="X18" s="89" t="s">
        <v>285</v>
      </c>
      <c r="Y18" s="230">
        <f ca="1">INDEX(Infiltration!$C$35:$E$42,MATCH(Y$3,Infiltration!$B$35:$B$42,0),MATCH($D18,Infiltration!$C$44:$E$44,0))</f>
        <v>1294.5278735243085</v>
      </c>
      <c r="Z18" s="230">
        <f ca="1">INDEX(Infiltration!$C$35:$E$42,MATCH(Z$3,Infiltration!$B$35:$B$42,0),MATCH($D18,Infiltration!$C$44:$E$44,0))</f>
        <v>2564.3309720867064</v>
      </c>
      <c r="AA18" s="230">
        <f ca="1">INDEX(Infiltration!$C$35:$E$42,MATCH(AA$3,Infiltration!$B$35:$B$42,0),MATCH($D18,Infiltration!$C$44:$E$44,0))</f>
        <v>1216.3407967556723</v>
      </c>
      <c r="AB18" s="230">
        <f ca="1">INDEX(Infiltration!$C$35:$E$42,MATCH(AB$3,Infiltration!$B$35:$B$42,0),MATCH($D18,Infiltration!$C$44:$E$44,0))</f>
        <v>1267.1983550403547</v>
      </c>
      <c r="AC18" s="230">
        <f ca="1">INDEX(Infiltration!$C$35:$E$42,MATCH(AC$3,Infiltration!$B$35:$B$42,0),MATCH($D18,Infiltration!$C$44:$E$44,0))</f>
        <v>1350.9350304534489</v>
      </c>
      <c r="AD18" s="230">
        <f ca="1">INDEX(Infiltration!$C$35:$E$42,MATCH(AD$3,Infiltration!$B$35:$B$42,0),MATCH($D18,Infiltration!$C$44:$E$44,0))</f>
        <v>1269.2718072298135</v>
      </c>
      <c r="AE18" s="230">
        <f ca="1">INDEX(Infiltration!$C$35:$E$42,MATCH(AE$3,Infiltration!$B$35:$B$42,0),MATCH($D18,Infiltration!$C$44:$E$44,0))</f>
        <v>1308.6112545430954</v>
      </c>
      <c r="AF18" s="230">
        <f ca="1">INDEX(Infiltration!$C$35:$E$42,MATCH(AF$3,Infiltration!$B$35:$B$42,0),MATCH($D18,Infiltration!$C$44:$E$44,0))</f>
        <v>1263.9862738928866</v>
      </c>
      <c r="AG18" s="89" t="s">
        <v>285</v>
      </c>
      <c r="AH18" s="230">
        <f ca="1">INDEX(Infiltration!$C$45:$E$52,MATCH(AH$3,Infiltration!$B$45:$B$52,0),MATCH($D18,Infiltration!$C$44:$E$44,0))</f>
        <v>920.62501704993599</v>
      </c>
      <c r="AI18" s="6">
        <f ca="1">INDEX(Infiltration!$C$45:$E$52,MATCH(AI$3,Infiltration!$B$45:$B$52,0),MATCH($D18,Infiltration!$C$44:$E$44,0))</f>
        <v>1823.6665993694205</v>
      </c>
      <c r="AJ18" s="6">
        <f ca="1">INDEX(Infiltration!$C$45:$E$52,MATCH(AJ$3,Infiltration!$B$45:$B$52,0),MATCH($D18,Infiltration!$C$44:$E$44,0))</f>
        <v>865.02097765042527</v>
      </c>
      <c r="AK18" s="6">
        <f ca="1">INDEX(Infiltration!$C$45:$E$52,MATCH(AK$3,Infiltration!$B$45:$B$52,0),MATCH($D18,Infiltration!$C$44:$E$44,0))</f>
        <v>901.18917566340917</v>
      </c>
      <c r="AL18" s="6">
        <f ca="1">INDEX(Infiltration!$C$45:$E$52,MATCH(AL$3,Infiltration!$B$45:$B$52,0),MATCH($D18,Infiltration!$C$44:$E$44,0))</f>
        <v>960.7399043935751</v>
      </c>
      <c r="AM18" s="6">
        <f ca="1">INDEX(Infiltration!$C$45:$E$52,MATCH(AM$3,Infiltration!$B$45:$B$52,0),MATCH($D18,Infiltration!$C$44:$E$44,0))</f>
        <v>902.66374565630986</v>
      </c>
      <c r="AN18" s="6">
        <f ca="1">INDEX(Infiltration!$C$45:$E$52,MATCH(AN$3,Infiltration!$B$45:$B$52,0),MATCH($D18,Infiltration!$C$44:$E$44,0))</f>
        <v>930.64064757880453</v>
      </c>
      <c r="AO18" s="6">
        <f ca="1">INDEX(Infiltration!$C$45:$E$52,MATCH(AO$3,Infiltration!$B$45:$B$52,0),MATCH($D18,Infiltration!$C$44:$E$44,0))</f>
        <v>898.9048507588376</v>
      </c>
      <c r="AP18" s="89" t="s">
        <v>250</v>
      </c>
      <c r="AQ18" s="345"/>
      <c r="AR18" s="327"/>
    </row>
    <row r="19" spans="1:44">
      <c r="A19" s="340">
        <v>6</v>
      </c>
      <c r="B19" s="319" t="s">
        <v>6</v>
      </c>
      <c r="C19" s="87" t="s">
        <v>275</v>
      </c>
      <c r="D19" s="171" t="s">
        <v>207</v>
      </c>
      <c r="E19" s="36" t="str">
        <f>CONCATENATE(B19," ",D19)</f>
        <v>Wetlands and Wet Ponds Low</v>
      </c>
      <c r="F19" s="88">
        <f ca="1">INDEX(INDIRECT($C19),MATCH(F$3,'Wetlands-Wet Ponds'!$B$52:$B$59,0),MATCH($D19,'Wetlands-Wet Ponds'!$C$51:$E$51,0))</f>
        <v>289.42787844492057</v>
      </c>
      <c r="G19" s="6">
        <f ca="1">INDEX(INDIRECT($C19),MATCH(G$3,'Wetlands-Wet Ponds'!$B$52:$B$59,0),MATCH($D19,'Wetlands-Wet Ponds'!$C$51:$E$51,0))</f>
        <v>573.32784257558853</v>
      </c>
      <c r="H19" s="6">
        <f ca="1">INDEX(INDIRECT($C19),MATCH(H$3,'Wetlands-Wet Ponds'!$B$52:$B$59,0),MATCH($D19,'Wetlands-Wet Ponds'!$C$51:$E$51,0))</f>
        <v>271.94697269250253</v>
      </c>
      <c r="I19" s="6">
        <f ca="1">INDEX(INDIRECT($C19),MATCH(I$3,'Wetlands-Wet Ponds'!$B$52:$B$59,0),MATCH($D19,'Wetlands-Wet Ponds'!$C$51:$E$51,0))</f>
        <v>283.31760093332286</v>
      </c>
      <c r="J19" s="6">
        <f ca="1">INDEX(INDIRECT($C19),MATCH(J$3,'Wetlands-Wet Ponds'!$B$52:$B$59,0),MATCH($D19,'Wetlands-Wet Ponds'!$C$51:$E$51,0))</f>
        <v>302.03927453225572</v>
      </c>
      <c r="K19" s="6">
        <f ca="1">INDEX(INDIRECT($C19),MATCH(K$3,'Wetlands-Wet Ponds'!$B$52:$B$59,0),MATCH($D19,'Wetlands-Wet Ponds'!$C$51:$E$51,0))</f>
        <v>283.78117910767162</v>
      </c>
      <c r="L19" s="6">
        <f ca="1">INDEX(INDIRECT($C19),MATCH(L$3,'Wetlands-Wet Ponds'!$B$52:$B$59,0),MATCH($D19,'Wetlands-Wet Ponds'!$C$51:$E$51,0))</f>
        <v>292.57661179625563</v>
      </c>
      <c r="M19" s="6">
        <f ca="1">INDEX(INDIRECT($C19),MATCH(M$3,'Wetlands-Wet Ponds'!$B$52:$B$59,0),MATCH($D19,'Wetlands-Wet Ponds'!$C$51:$E$51,0))</f>
        <v>282.59945043929474</v>
      </c>
      <c r="N19" s="9" t="s">
        <v>250</v>
      </c>
      <c r="O19" s="88">
        <f ca="1">INDEX('Wetlands-Wet Ponds'!$C$62:$E$69,MATCH(O$3,'Wetlands-Wet Ponds'!$B$62:$B$69,0),MATCH($D19,'Wetlands-Wet Ponds'!$C$61:$E$61,0))</f>
        <v>1782.8151527781397</v>
      </c>
      <c r="P19" s="6">
        <f ca="1">INDEX('Wetlands-Wet Ponds'!$C$62:$E$69,MATCH(P$3,'Wetlands-Wet Ponds'!$B$62:$B$69,0),MATCH($D19,'Wetlands-Wet Ponds'!$C$61:$E$61,0))</f>
        <v>3531.5795103956325</v>
      </c>
      <c r="Q19" s="6">
        <f ca="1">INDEX('Wetlands-Wet Ponds'!$C$62:$E$69,MATCH(Q$3,'Wetlands-Wet Ponds'!$B$62:$B$69,0),MATCH($D19,'Wetlands-Wet Ponds'!$C$61:$E$61,0))</f>
        <v>1675.1364321685483</v>
      </c>
      <c r="R19" s="6">
        <f ca="1">INDEX('Wetlands-Wet Ponds'!$C$62:$E$69,MATCH(R$3,'Wetlands-Wet Ponds'!$B$62:$B$69,0),MATCH($D19,'Wetlands-Wet Ponds'!$C$61:$E$61,0))</f>
        <v>1745.1771222128534</v>
      </c>
      <c r="S19" s="6">
        <f ca="1">INDEX('Wetlands-Wet Ponds'!$C$62:$E$69,MATCH(S$3,'Wetlands-Wet Ponds'!$B$62:$B$69,0),MATCH($D19,'Wetlands-Wet Ponds'!$C$61:$E$61,0))</f>
        <v>1860.4987130591749</v>
      </c>
      <c r="T19" s="6">
        <f ca="1">INDEX('Wetlands-Wet Ponds'!$C$62:$E$69,MATCH(T$3,'Wetlands-Wet Ponds'!$B$62:$B$69,0),MATCH($D19,'Wetlands-Wet Ponds'!$C$61:$E$61,0))</f>
        <v>1748.0326667380277</v>
      </c>
      <c r="U19" s="6">
        <f ca="1">INDEX('Wetlands-Wet Ponds'!$C$62:$E$69,MATCH(U$3,'Wetlands-Wet Ponds'!$B$62:$B$69,0),MATCH($D19,'Wetlands-Wet Ponds'!$C$61:$E$61,0))</f>
        <v>1802.2106911795534</v>
      </c>
      <c r="V19" s="6">
        <f ca="1">INDEX('Wetlands-Wet Ponds'!$C$62:$E$69,MATCH(V$3,'Wetlands-Wet Ponds'!$B$62:$B$69,0),MATCH($D19,'Wetlands-Wet Ponds'!$C$61:$E$61,0))</f>
        <v>1740.7534654814856</v>
      </c>
      <c r="W19" s="90">
        <f>'Wetlands-Wet Ponds'!C3</f>
        <v>20</v>
      </c>
      <c r="X19" s="89" t="s">
        <v>285</v>
      </c>
      <c r="Y19" s="230">
        <f ca="1">INDEX('Wetlands-Wet Ponds'!$C$72:$E$79,MATCH(Y$3,'Wetlands-Wet Ponds'!$B$72:$B$79,0),MATCH($D19,'Wetlands-Wet Ponds'!$C$81:$E$81,0))</f>
        <v>517.81114940972338</v>
      </c>
      <c r="Z19" s="230">
        <f ca="1">INDEX('Wetlands-Wet Ponds'!$C$72:$E$79,MATCH(Z$3,'Wetlands-Wet Ponds'!$B$72:$B$79,0),MATCH($D19,'Wetlands-Wet Ponds'!$C$81:$E$81,0))</f>
        <v>1025.7323888346825</v>
      </c>
      <c r="AA19" s="230">
        <f ca="1">INDEX('Wetlands-Wet Ponds'!$C$72:$E$79,MATCH(AA$3,'Wetlands-Wet Ponds'!$B$72:$B$79,0),MATCH($D19,'Wetlands-Wet Ponds'!$C$81:$E$81,0))</f>
        <v>486.53631870226889</v>
      </c>
      <c r="AB19" s="230">
        <f ca="1">INDEX('Wetlands-Wet Ponds'!$C$72:$E$79,MATCH(AB$3,'Wetlands-Wet Ponds'!$B$72:$B$79,0),MATCH($D19,'Wetlands-Wet Ponds'!$C$81:$E$81,0))</f>
        <v>506.87934201614195</v>
      </c>
      <c r="AC19" s="230">
        <f ca="1">INDEX('Wetlands-Wet Ponds'!$C$72:$E$79,MATCH(AC$3,'Wetlands-Wet Ponds'!$B$72:$B$79,0),MATCH($D19,'Wetlands-Wet Ponds'!$C$81:$E$81,0))</f>
        <v>540.37401218137961</v>
      </c>
      <c r="AD19" s="230">
        <f ca="1">INDEX('Wetlands-Wet Ponds'!$C$72:$E$79,MATCH(AD$3,'Wetlands-Wet Ponds'!$B$72:$B$79,0),MATCH($D19,'Wetlands-Wet Ponds'!$C$81:$E$81,0))</f>
        <v>507.70872289192539</v>
      </c>
      <c r="AE19" s="230">
        <f ca="1">INDEX('Wetlands-Wet Ponds'!$C$72:$E$79,MATCH(AE$3,'Wetlands-Wet Ponds'!$B$72:$B$79,0),MATCH($D19,'Wetlands-Wet Ponds'!$C$81:$E$81,0))</f>
        <v>523.44450181723812</v>
      </c>
      <c r="AF19" s="230">
        <f ca="1">INDEX('Wetlands-Wet Ponds'!$C$72:$E$79,MATCH(AF$3,'Wetlands-Wet Ponds'!$B$72:$B$79,0),MATCH($D19,'Wetlands-Wet Ponds'!$C$81:$E$81,0))</f>
        <v>505.59450955715471</v>
      </c>
      <c r="AG19" s="89" t="s">
        <v>285</v>
      </c>
      <c r="AH19" s="230">
        <f ca="1">INDEX('Wetlands-Wet Ponds'!$C$82:$E$89,MATCH(AH$3,'Wetlands-Wet Ponds'!$B$82:$B$89,0),MATCH($D19,'Wetlands-Wet Ponds'!$C$81:$E$81,0))</f>
        <v>84.89595965610188</v>
      </c>
      <c r="AI19" s="6">
        <f ca="1">INDEX('Wetlands-Wet Ponds'!$C$82:$E$89,MATCH(AI$3,'Wetlands-Wet Ponds'!$B$82:$B$89,0),MATCH($D19,'Wetlands-Wet Ponds'!$C$81:$E$81,0))</f>
        <v>168.17045287598251</v>
      </c>
      <c r="AJ19" s="6">
        <f ca="1">INDEX('Wetlands-Wet Ponds'!$C$82:$E$89,MATCH(AJ$3,'Wetlands-Wet Ponds'!$B$82:$B$89,0),MATCH($D19,'Wetlands-Wet Ponds'!$C$81:$E$81,0))</f>
        <v>79.768401531835622</v>
      </c>
      <c r="AK19" s="6">
        <f ca="1">INDEX('Wetlands-Wet Ponds'!$C$82:$E$89,MATCH(AK$3,'Wetlands-Wet Ponds'!$B$82:$B$89,0),MATCH($D19,'Wetlands-Wet Ponds'!$C$81:$E$81,0))</f>
        <v>83.103672486326346</v>
      </c>
      <c r="AL19" s="6">
        <f ca="1">INDEX('Wetlands-Wet Ponds'!$C$82:$E$89,MATCH(AL$3,'Wetlands-Wet Ponds'!$B$82:$B$89,0),MATCH($D19,'Wetlands-Wet Ponds'!$C$81:$E$81,0))</f>
        <v>88.595176812341663</v>
      </c>
      <c r="AM19" s="6">
        <f ca="1">INDEX('Wetlands-Wet Ponds'!$C$82:$E$89,MATCH(AM$3,'Wetlands-Wet Ponds'!$B$82:$B$89,0),MATCH($D19,'Wetlands-Wet Ponds'!$C$81:$E$81,0))</f>
        <v>83.239650797048938</v>
      </c>
      <c r="AN19" s="6">
        <f ca="1">INDEX('Wetlands-Wet Ponds'!$C$82:$E$89,MATCH(AN$3,'Wetlands-Wet Ponds'!$B$82:$B$89,0),MATCH($D19,'Wetlands-Wet Ponds'!$C$81:$E$81,0))</f>
        <v>85.81955672283587</v>
      </c>
      <c r="AO19" s="6">
        <f ca="1">INDEX('Wetlands-Wet Ponds'!$C$82:$E$89,MATCH(AO$3,'Wetlands-Wet Ponds'!$B$82:$B$89,0),MATCH($D19,'Wetlands-Wet Ponds'!$C$81:$E$81,0))</f>
        <v>82.893022165785027</v>
      </c>
      <c r="AP19" s="89" t="s">
        <v>250</v>
      </c>
      <c r="AQ19" s="343" t="s">
        <v>283</v>
      </c>
      <c r="AR19" s="325" t="s">
        <v>71</v>
      </c>
    </row>
    <row r="20" spans="1:44">
      <c r="A20" s="341"/>
      <c r="B20" s="316"/>
      <c r="C20" s="87" t="s">
        <v>275</v>
      </c>
      <c r="D20" s="171" t="s">
        <v>18</v>
      </c>
      <c r="E20" s="36" t="str">
        <f>CONCATENATE(B19," ",D20)</f>
        <v>Wetlands and Wet Ponds Median</v>
      </c>
      <c r="F20" s="88">
        <f ca="1">INDEX(INDIRECT($C20),MATCH(F$3,'Wetlands-Wet Ponds'!$B$52:$B$59,0),MATCH($D20,'Wetlands-Wet Ponds'!$C$51:$E$51,0))</f>
        <v>645.57545938141675</v>
      </c>
      <c r="G20" s="6">
        <f ca="1">INDEX(INDIRECT($C20),MATCH(G$3,'Wetlands-Wet Ponds'!$B$52:$B$59,0),MATCH($D20,'Wetlands-Wet Ponds'!$C$51:$E$51,0))</f>
        <v>1278.8207802771458</v>
      </c>
      <c r="H20" s="6">
        <f ca="1">INDEX(INDIRECT($C20),MATCH(H$3,'Wetlands-Wet Ponds'!$B$52:$B$59,0),MATCH($D20,'Wetlands-Wet Ponds'!$C$51:$E$51,0))</f>
        <v>606.58390189167017</v>
      </c>
      <c r="I20" s="6">
        <f ca="1">INDEX(INDIRECT($C20),MATCH(I$3,'Wetlands-Wet Ponds'!$B$52:$B$59,0),MATCH($D20,'Wetlands-Wet Ponds'!$C$51:$E$51,0))</f>
        <v>631.94634655133291</v>
      </c>
      <c r="J20" s="6">
        <f ca="1">INDEX(INDIRECT($C20),MATCH(J$3,'Wetlands-Wet Ponds'!$B$52:$B$59,0),MATCH($D20,'Wetlands-Wet Ponds'!$C$51:$E$51,0))</f>
        <v>673.70546491601431</v>
      </c>
      <c r="K20" s="6">
        <f ca="1">INDEX(INDIRECT($C20),MATCH(K$3,'Wetlands-Wet Ponds'!$B$52:$B$59,0),MATCH($D20,'Wetlands-Wet Ponds'!$C$51:$E$51,0))</f>
        <v>632.98036820284892</v>
      </c>
      <c r="L20" s="6">
        <f ca="1">INDEX(INDIRECT($C20),MATCH(L$3,'Wetlands-Wet Ponds'!$B$52:$B$59,0),MATCH($D20,'Wetlands-Wet Ponds'!$C$51:$E$51,0))</f>
        <v>652.59878066850069</v>
      </c>
      <c r="M20" s="6">
        <f ca="1">INDEX(INDIRECT($C20),MATCH(M$3,'Wetlands-Wet Ponds'!$B$52:$B$59,0),MATCH($D20,'Wetlands-Wet Ponds'!$C$51:$E$51,0))</f>
        <v>630.34449555626566</v>
      </c>
      <c r="N20" s="9" t="s">
        <v>250</v>
      </c>
      <c r="O20" s="88">
        <f ca="1">INDEX('Wetlands-Wet Ponds'!$C$62:$E$69,MATCH(O$3,'Wetlands-Wet Ponds'!$B$62:$B$69,0),MATCH($D20,'Wetlands-Wet Ponds'!$C$61:$E$61,0))</f>
        <v>4506.5605250780736</v>
      </c>
      <c r="P20" s="6">
        <f ca="1">INDEX('Wetlands-Wet Ponds'!$C$62:$E$69,MATCH(P$3,'Wetlands-Wet Ponds'!$B$62:$B$69,0),MATCH($D20,'Wetlands-Wet Ponds'!$C$61:$E$61,0))</f>
        <v>8927.0482068334022</v>
      </c>
      <c r="Q20" s="6">
        <f ca="1">INDEX('Wetlands-Wet Ponds'!$C$62:$E$69,MATCH(Q$3,'Wetlands-Wet Ponds'!$B$62:$B$69,0),MATCH($D20,'Wetlands-Wet Ponds'!$C$61:$E$61,0))</f>
        <v>4234.3726479816069</v>
      </c>
      <c r="R20" s="6">
        <f ca="1">INDEX('Wetlands-Wet Ponds'!$C$62:$E$69,MATCH(R$3,'Wetlands-Wet Ponds'!$B$62:$B$69,0),MATCH($D20,'Wetlands-Wet Ponds'!$C$61:$E$61,0))</f>
        <v>4411.4199478158225</v>
      </c>
      <c r="S20" s="6">
        <f ca="1">INDEX('Wetlands-Wet Ponds'!$C$62:$E$69,MATCH(S$3,'Wetlands-Wet Ponds'!$B$62:$B$69,0),MATCH($D20,'Wetlands-Wet Ponds'!$C$61:$E$61,0))</f>
        <v>4702.9273024551358</v>
      </c>
      <c r="T20" s="6">
        <f ca="1">INDEX('Wetlands-Wet Ponds'!$C$62:$E$69,MATCH(T$3,'Wetlands-Wet Ponds'!$B$62:$B$69,0),MATCH($D20,'Wetlands-Wet Ponds'!$C$61:$E$61,0))</f>
        <v>4418.6381298100132</v>
      </c>
      <c r="U20" s="6">
        <f ca="1">INDEX('Wetlands-Wet Ponds'!$C$62:$E$69,MATCH(U$3,'Wetlands-Wet Ponds'!$B$62:$B$69,0),MATCH($D20,'Wetlands-Wet Ponds'!$C$61:$E$61,0))</f>
        <v>4555.5881360372032</v>
      </c>
      <c r="V20" s="6">
        <f ca="1">INDEX('Wetlands-Wet Ponds'!$C$62:$E$69,MATCH(V$3,'Wetlands-Wet Ponds'!$B$62:$B$69,0),MATCH($D20,'Wetlands-Wet Ponds'!$C$61:$E$61,0))</f>
        <v>4400.2379266337539</v>
      </c>
      <c r="W20" s="90">
        <f>W19</f>
        <v>20</v>
      </c>
      <c r="X20" s="89" t="s">
        <v>285</v>
      </c>
      <c r="Y20" s="230">
        <f ca="1">INDEX('Wetlands-Wet Ponds'!$C$72:$E$79,MATCH(Y$3,'Wetlands-Wet Ponds'!$B$72:$B$79,0),MATCH($D20,'Wetlands-Wet Ponds'!$C$81:$E$81,0))</f>
        <v>517.81114940972338</v>
      </c>
      <c r="Z20" s="230">
        <f ca="1">INDEX('Wetlands-Wet Ponds'!$C$72:$E$79,MATCH(Z$3,'Wetlands-Wet Ponds'!$B$72:$B$79,0),MATCH($D20,'Wetlands-Wet Ponds'!$C$81:$E$81,0))</f>
        <v>1025.7323888346825</v>
      </c>
      <c r="AA20" s="230">
        <f ca="1">INDEX('Wetlands-Wet Ponds'!$C$72:$E$79,MATCH(AA$3,'Wetlands-Wet Ponds'!$B$72:$B$79,0),MATCH($D20,'Wetlands-Wet Ponds'!$C$81:$E$81,0))</f>
        <v>486.53631870226889</v>
      </c>
      <c r="AB20" s="230">
        <f ca="1">INDEX('Wetlands-Wet Ponds'!$C$72:$E$79,MATCH(AB$3,'Wetlands-Wet Ponds'!$B$72:$B$79,0),MATCH($D20,'Wetlands-Wet Ponds'!$C$81:$E$81,0))</f>
        <v>506.87934201614195</v>
      </c>
      <c r="AC20" s="230">
        <f ca="1">INDEX('Wetlands-Wet Ponds'!$C$72:$E$79,MATCH(AC$3,'Wetlands-Wet Ponds'!$B$72:$B$79,0),MATCH($D20,'Wetlands-Wet Ponds'!$C$81:$E$81,0))</f>
        <v>540.37401218137961</v>
      </c>
      <c r="AD20" s="230">
        <f ca="1">INDEX('Wetlands-Wet Ponds'!$C$72:$E$79,MATCH(AD$3,'Wetlands-Wet Ponds'!$B$72:$B$79,0),MATCH($D20,'Wetlands-Wet Ponds'!$C$81:$E$81,0))</f>
        <v>507.70872289192539</v>
      </c>
      <c r="AE20" s="230">
        <f ca="1">INDEX('Wetlands-Wet Ponds'!$C$72:$E$79,MATCH(AE$3,'Wetlands-Wet Ponds'!$B$72:$B$79,0),MATCH($D20,'Wetlands-Wet Ponds'!$C$81:$E$81,0))</f>
        <v>523.44450181723812</v>
      </c>
      <c r="AF20" s="230">
        <f ca="1">INDEX('Wetlands-Wet Ponds'!$C$72:$E$79,MATCH(AF$3,'Wetlands-Wet Ponds'!$B$72:$B$79,0),MATCH($D20,'Wetlands-Wet Ponds'!$C$81:$E$81,0))</f>
        <v>505.59450955715471</v>
      </c>
      <c r="AG20" s="89" t="s">
        <v>285</v>
      </c>
      <c r="AH20" s="230">
        <f ca="1">INDEX('Wetlands-Wet Ponds'!$C$82:$E$89,MATCH(AH$3,'Wetlands-Wet Ponds'!$B$82:$B$89,0),MATCH($D20,'Wetlands-Wet Ponds'!$C$81:$E$81,0))</f>
        <v>183.9412459215541</v>
      </c>
      <c r="AI20" s="6">
        <f ca="1">INDEX('Wetlands-Wet Ponds'!$C$82:$E$89,MATCH(AI$3,'Wetlands-Wet Ponds'!$B$82:$B$89,0),MATCH($D20,'Wetlands-Wet Ponds'!$C$81:$E$81,0))</f>
        <v>364.36931456462878</v>
      </c>
      <c r="AJ20" s="6">
        <f ca="1">INDEX('Wetlands-Wet Ponds'!$C$82:$E$89,MATCH(AJ$3,'Wetlands-Wet Ponds'!$B$82:$B$89,0),MATCH($D20,'Wetlands-Wet Ponds'!$C$81:$E$81,0))</f>
        <v>172.83153665231055</v>
      </c>
      <c r="AK20" s="6">
        <f ca="1">INDEX('Wetlands-Wet Ponds'!$C$82:$E$89,MATCH(AK$3,'Wetlands-Wet Ponds'!$B$82:$B$89,0),MATCH($D20,'Wetlands-Wet Ponds'!$C$81:$E$81,0))</f>
        <v>180.0579570537071</v>
      </c>
      <c r="AL20" s="6">
        <f ca="1">INDEX('Wetlands-Wet Ponds'!$C$82:$E$89,MATCH(AL$3,'Wetlands-Wet Ponds'!$B$82:$B$89,0),MATCH($D20,'Wetlands-Wet Ponds'!$C$81:$E$81,0))</f>
        <v>191.95621642674027</v>
      </c>
      <c r="AM20" s="6">
        <f ca="1">INDEX('Wetlands-Wet Ponds'!$C$82:$E$89,MATCH(AM$3,'Wetlands-Wet Ponds'!$B$82:$B$89,0),MATCH($D20,'Wetlands-Wet Ponds'!$C$81:$E$81,0))</f>
        <v>180.35257672693936</v>
      </c>
      <c r="AN20" s="6">
        <f ca="1">INDEX('Wetlands-Wet Ponds'!$C$82:$E$89,MATCH(AN$3,'Wetlands-Wet Ponds'!$B$82:$B$89,0),MATCH($D20,'Wetlands-Wet Ponds'!$C$81:$E$81,0))</f>
        <v>185.94237289947773</v>
      </c>
      <c r="AO20" s="6">
        <f ca="1">INDEX('Wetlands-Wet Ponds'!$C$82:$E$89,MATCH(AO$3,'Wetlands-Wet Ponds'!$B$82:$B$89,0),MATCH($D20,'Wetlands-Wet Ponds'!$C$81:$E$81,0))</f>
        <v>179.60154802586757</v>
      </c>
      <c r="AP20" s="89" t="s">
        <v>250</v>
      </c>
      <c r="AQ20" s="344"/>
      <c r="AR20" s="326"/>
    </row>
    <row r="21" spans="1:44">
      <c r="A21" s="341"/>
      <c r="B21" s="316"/>
      <c r="C21" s="87" t="s">
        <v>275</v>
      </c>
      <c r="D21" s="171" t="s">
        <v>208</v>
      </c>
      <c r="E21" s="36" t="str">
        <f>CONCATENATE(B19," ",D21)</f>
        <v>Wetlands and Wet Ponds High</v>
      </c>
      <c r="F21" s="88">
        <f ca="1">INDEX(INDIRECT($C21),MATCH(F$3,'Wetlands-Wet Ponds'!$B$52:$B$59,0),MATCH($D21,'Wetlands-Wet Ponds'!$C$51:$E$51,0))</f>
        <v>1411.92313569216</v>
      </c>
      <c r="G21" s="6">
        <f ca="1">INDEX(INDIRECT($C21),MATCH(G$3,'Wetlands-Wet Ponds'!$B$52:$B$59,0),MATCH($D21,'Wetlands-Wet Ponds'!$C$51:$E$51,0))</f>
        <v>2796.8793110681518</v>
      </c>
      <c r="H21" s="6">
        <f ca="1">INDEX(INDIRECT($C21),MATCH(H$3,'Wetlands-Wet Ponds'!$B$52:$B$59,0),MATCH($D21,'Wetlands-Wet Ponds'!$C$51:$E$51,0))</f>
        <v>1326.6456033504019</v>
      </c>
      <c r="I21" s="6">
        <f ca="1">INDEX(INDIRECT($C21),MATCH(I$3,'Wetlands-Wet Ponds'!$B$52:$B$59,0),MATCH($D21,'Wetlands-Wet Ponds'!$C$51:$E$51,0))</f>
        <v>1382.1152186715954</v>
      </c>
      <c r="J21" s="6">
        <f ca="1">INDEX(INDIRECT($C21),MATCH(J$3,'Wetlands-Wet Ponds'!$B$52:$B$59,0),MATCH($D21,'Wetlands-Wet Ponds'!$C$51:$E$51,0))</f>
        <v>1473.445619306242</v>
      </c>
      <c r="K21" s="6">
        <f ca="1">INDEX(INDIRECT($C21),MATCH(K$3,'Wetlands-Wet Ponds'!$B$52:$B$59,0),MATCH($D21,'Wetlands-Wet Ponds'!$C$51:$E$51,0))</f>
        <v>1384.3767034776952</v>
      </c>
      <c r="L21" s="6">
        <f ca="1">INDEX(INDIRECT($C21),MATCH(L$3,'Wetlands-Wet Ponds'!$B$52:$B$59,0),MATCH($D21,'Wetlands-Wet Ponds'!$C$51:$E$51,0))</f>
        <v>1427.2836790190931</v>
      </c>
      <c r="M21" s="6">
        <f ca="1">INDEX(INDIRECT($C21),MATCH(M$3,'Wetlands-Wet Ponds'!$B$52:$B$59,0),MATCH($D21,'Wetlands-Wet Ponds'!$C$51:$E$51,0))</f>
        <v>1378.6118474591362</v>
      </c>
      <c r="N21" s="9" t="s">
        <v>250</v>
      </c>
      <c r="O21" s="88">
        <f ca="1">INDEX('Wetlands-Wet Ponds'!$C$62:$E$69,MATCH(O$3,'Wetlands-Wet Ponds'!$B$62:$B$69,0),MATCH($D21,'Wetlands-Wet Ponds'!$C$61:$E$61,0))</f>
        <v>10573.405884441781</v>
      </c>
      <c r="P21" s="6">
        <f ca="1">INDEX('Wetlands-Wet Ponds'!$C$62:$E$69,MATCH(P$3,'Wetlands-Wet Ponds'!$B$62:$B$69,0),MATCH($D21,'Wetlands-Wet Ponds'!$C$61:$E$61,0))</f>
        <v>20944.865494554186</v>
      </c>
      <c r="Q21" s="6">
        <f ca="1">INDEX('Wetlands-Wet Ponds'!$C$62:$E$69,MATCH(Q$3,'Wetlands-Wet Ponds'!$B$62:$B$69,0),MATCH($D21,'Wetlands-Wet Ponds'!$C$61:$E$61,0))</f>
        <v>9934.7918271468025</v>
      </c>
      <c r="R21" s="6">
        <f ca="1">INDEX('Wetlands-Wet Ponds'!$C$62:$E$69,MATCH(R$3,'Wetlands-Wet Ponds'!$B$62:$B$69,0),MATCH($D21,'Wetlands-Wet Ponds'!$C$61:$E$61,0))</f>
        <v>10350.184664206101</v>
      </c>
      <c r="S21" s="6">
        <f ca="1">INDEX('Wetlands-Wet Ponds'!$C$62:$E$69,MATCH(S$3,'Wetlands-Wet Ponds'!$B$62:$B$69,0),MATCH($D21,'Wetlands-Wet Ponds'!$C$61:$E$61,0))</f>
        <v>11034.126566628007</v>
      </c>
      <c r="T21" s="6">
        <f ca="1">INDEX('Wetlands-Wet Ponds'!$C$62:$E$69,MATCH(T$3,'Wetlands-Wet Ponds'!$B$62:$B$69,0),MATCH($D21,'Wetlands-Wet Ponds'!$C$61:$E$61,0))</f>
        <v>10367.120144723369</v>
      </c>
      <c r="U21" s="6">
        <f ca="1">INDEX('Wetlands-Wet Ponds'!$C$62:$E$69,MATCH(U$3,'Wetlands-Wet Ponds'!$B$62:$B$69,0),MATCH($D21,'Wetlands-Wet Ponds'!$C$61:$E$61,0))</f>
        <v>10688.435700935013</v>
      </c>
      <c r="V21" s="6">
        <f ca="1">INDEX('Wetlands-Wet Ponds'!$C$62:$E$69,MATCH(V$3,'Wetlands-Wet Ponds'!$B$62:$B$69,0),MATCH($D21,'Wetlands-Wet Ponds'!$C$61:$E$61,0))</f>
        <v>10323.949124284136</v>
      </c>
      <c r="W21" s="90">
        <f>W19</f>
        <v>20</v>
      </c>
      <c r="X21" s="89" t="s">
        <v>285</v>
      </c>
      <c r="Y21" s="230">
        <f ca="1">INDEX('Wetlands-Wet Ponds'!$C$72:$E$79,MATCH(Y$3,'Wetlands-Wet Ponds'!$B$72:$B$79,0),MATCH($D21,'Wetlands-Wet Ponds'!$C$81:$E$81,0))</f>
        <v>517.81114940972338</v>
      </c>
      <c r="Z21" s="230">
        <f ca="1">INDEX('Wetlands-Wet Ponds'!$C$72:$E$79,MATCH(Z$3,'Wetlands-Wet Ponds'!$B$72:$B$79,0),MATCH($D21,'Wetlands-Wet Ponds'!$C$81:$E$81,0))</f>
        <v>1025.7323888346825</v>
      </c>
      <c r="AA21" s="230">
        <f ca="1">INDEX('Wetlands-Wet Ponds'!$C$72:$E$79,MATCH(AA$3,'Wetlands-Wet Ponds'!$B$72:$B$79,0),MATCH($D21,'Wetlands-Wet Ponds'!$C$81:$E$81,0))</f>
        <v>486.53631870226889</v>
      </c>
      <c r="AB21" s="230">
        <f ca="1">INDEX('Wetlands-Wet Ponds'!$C$72:$E$79,MATCH(AB$3,'Wetlands-Wet Ponds'!$B$72:$B$79,0),MATCH($D21,'Wetlands-Wet Ponds'!$C$81:$E$81,0))</f>
        <v>506.87934201614195</v>
      </c>
      <c r="AC21" s="230">
        <f ca="1">INDEX('Wetlands-Wet Ponds'!$C$72:$E$79,MATCH(AC$3,'Wetlands-Wet Ponds'!$B$72:$B$79,0),MATCH($D21,'Wetlands-Wet Ponds'!$C$81:$E$81,0))</f>
        <v>540.37401218137961</v>
      </c>
      <c r="AD21" s="230">
        <f ca="1">INDEX('Wetlands-Wet Ponds'!$C$72:$E$79,MATCH(AD$3,'Wetlands-Wet Ponds'!$B$72:$B$79,0),MATCH($D21,'Wetlands-Wet Ponds'!$C$81:$E$81,0))</f>
        <v>507.70872289192539</v>
      </c>
      <c r="AE21" s="230">
        <f ca="1">INDEX('Wetlands-Wet Ponds'!$C$72:$E$79,MATCH(AE$3,'Wetlands-Wet Ponds'!$B$72:$B$79,0),MATCH($D21,'Wetlands-Wet Ponds'!$C$81:$E$81,0))</f>
        <v>523.44450181723812</v>
      </c>
      <c r="AF21" s="230">
        <f ca="1">INDEX('Wetlands-Wet Ponds'!$C$72:$E$79,MATCH(AF$3,'Wetlands-Wet Ponds'!$B$72:$B$79,0),MATCH($D21,'Wetlands-Wet Ponds'!$C$81:$E$81,0))</f>
        <v>505.59450955715471</v>
      </c>
      <c r="AG21" s="89" t="s">
        <v>285</v>
      </c>
      <c r="AH21" s="230">
        <f ca="1">INDEX('Wetlands-Wet Ponds'!$C$82:$E$89,MATCH(AH$3,'Wetlands-Wet Ponds'!$B$82:$B$89,0),MATCH($D21,'Wetlands-Wet Ponds'!$C$81:$E$81,0))</f>
        <v>377.62163873006358</v>
      </c>
      <c r="AI21" s="6">
        <f ca="1">INDEX('Wetlands-Wet Ponds'!$C$82:$E$89,MATCH(AI$3,'Wetlands-Wet Ponds'!$B$82:$B$89,0),MATCH($D21,'Wetlands-Wet Ponds'!$C$81:$E$81,0))</f>
        <v>748.03091051979231</v>
      </c>
      <c r="AJ21" s="6">
        <f ca="1">INDEX('Wetlands-Wet Ponds'!$C$82:$E$89,MATCH(AJ$3,'Wetlands-Wet Ponds'!$B$82:$B$89,0),MATCH($D21,'Wetlands-Wet Ponds'!$C$81:$E$81,0))</f>
        <v>354.81399382667149</v>
      </c>
      <c r="AK21" s="6">
        <f ca="1">INDEX('Wetlands-Wet Ponds'!$C$82:$E$89,MATCH(AK$3,'Wetlands-Wet Ponds'!$B$82:$B$89,0),MATCH($D21,'Wetlands-Wet Ponds'!$C$81:$E$81,0))</f>
        <v>369.649452293075</v>
      </c>
      <c r="AL21" s="6">
        <f ca="1">INDEX('Wetlands-Wet Ponds'!$C$82:$E$89,MATCH(AL$3,'Wetlands-Wet Ponds'!$B$82:$B$89,0),MATCH($D21,'Wetlands-Wet Ponds'!$C$81:$E$81,0))</f>
        <v>394.0759488081431</v>
      </c>
      <c r="AM21" s="6">
        <f ca="1">INDEX('Wetlands-Wet Ponds'!$C$82:$E$89,MATCH(AM$3,'Wetlands-Wet Ponds'!$B$82:$B$89,0),MATCH($D21,'Wetlands-Wet Ponds'!$C$81:$E$81,0))</f>
        <v>370.25429088297744</v>
      </c>
      <c r="AN21" s="6">
        <f ca="1">INDEX('Wetlands-Wet Ponds'!$C$82:$E$89,MATCH(AN$3,'Wetlands-Wet Ponds'!$B$82:$B$89,0),MATCH($D21,'Wetlands-Wet Ponds'!$C$81:$E$81,0))</f>
        <v>381.72984646196477</v>
      </c>
      <c r="AO21" s="6">
        <f ca="1">INDEX('Wetlands-Wet Ponds'!$C$82:$E$89,MATCH(AO$3,'Wetlands-Wet Ponds'!$B$82:$B$89,0),MATCH($D21,'Wetlands-Wet Ponds'!$C$81:$E$81,0))</f>
        <v>368.71246872443339</v>
      </c>
      <c r="AP21" s="89" t="s">
        <v>250</v>
      </c>
      <c r="AQ21" s="345"/>
      <c r="AR21" s="326"/>
    </row>
    <row r="22" spans="1:44">
      <c r="A22" s="340">
        <v>7</v>
      </c>
      <c r="B22" s="319" t="s">
        <v>7</v>
      </c>
      <c r="C22" s="87" t="s">
        <v>278</v>
      </c>
      <c r="D22" s="171" t="s">
        <v>207</v>
      </c>
      <c r="E22" s="36" t="str">
        <f>CONCATENATE(B22," ",D22)</f>
        <v>Urban Infiltration Practices without sand/vegetation Low</v>
      </c>
      <c r="F22" s="88">
        <f ca="1">F16</f>
        <v>1399.2673017768766</v>
      </c>
      <c r="G22" s="6">
        <f ca="1">G16</f>
        <v>2771.8093627493163</v>
      </c>
      <c r="H22" s="6">
        <f t="shared" ref="H22:M22" ca="1" si="0">H16</f>
        <v>1314.7541582738165</v>
      </c>
      <c r="I22" s="6">
        <f t="shared" ca="1" si="0"/>
        <v>1369.7265693059778</v>
      </c>
      <c r="J22" s="6">
        <f t="shared" ca="1" si="0"/>
        <v>1460.2383259559565</v>
      </c>
      <c r="K22" s="6">
        <f t="shared" ca="1" si="0"/>
        <v>1371.967783195493</v>
      </c>
      <c r="L22" s="6">
        <f t="shared" ca="1" si="0"/>
        <v>1414.490160211283</v>
      </c>
      <c r="M22" s="6">
        <f t="shared" ca="1" si="0"/>
        <v>1366.2546007124629</v>
      </c>
      <c r="N22" s="9" t="s">
        <v>250</v>
      </c>
      <c r="O22" s="88">
        <f ca="1">O16</f>
        <v>9215.0705299441506</v>
      </c>
      <c r="P22" s="6">
        <f t="shared" ref="P22:V22" ca="1" si="1">P16</f>
        <v>18254.138248538467</v>
      </c>
      <c r="Q22" s="6">
        <f t="shared" ca="1" si="1"/>
        <v>8658.497402637433</v>
      </c>
      <c r="R22" s="6">
        <f t="shared" ca="1" si="1"/>
        <v>9020.5259044248796</v>
      </c>
      <c r="S22" s="6">
        <f t="shared" ca="1" si="1"/>
        <v>9616.6037376305412</v>
      </c>
      <c r="T22" s="6">
        <f t="shared" ca="1" si="1"/>
        <v>9035.2857319705854</v>
      </c>
      <c r="U22" s="6">
        <f t="shared" ca="1" si="1"/>
        <v>9315.3227933696398</v>
      </c>
      <c r="V22" s="6">
        <f t="shared" ca="1" si="1"/>
        <v>8997.660769631575</v>
      </c>
      <c r="W22" s="90">
        <f>W16</f>
        <v>20</v>
      </c>
      <c r="X22" s="89" t="s">
        <v>285</v>
      </c>
      <c r="Y22" s="230">
        <f ca="1">Y16</f>
        <v>1294.5278735243085</v>
      </c>
      <c r="Z22" s="230">
        <f t="shared" ref="Z22:AF22" ca="1" si="2">Z16</f>
        <v>2564.3309720867064</v>
      </c>
      <c r="AA22" s="230">
        <f t="shared" ca="1" si="2"/>
        <v>1216.3407967556723</v>
      </c>
      <c r="AB22" s="230">
        <f t="shared" ca="1" si="2"/>
        <v>1267.1983550403547</v>
      </c>
      <c r="AC22" s="230">
        <f t="shared" ca="1" si="2"/>
        <v>1350.9350304534489</v>
      </c>
      <c r="AD22" s="230">
        <f t="shared" ca="1" si="2"/>
        <v>1269.2718072298135</v>
      </c>
      <c r="AE22" s="230">
        <f t="shared" ca="1" si="2"/>
        <v>1308.6112545430954</v>
      </c>
      <c r="AF22" s="230">
        <f t="shared" ca="1" si="2"/>
        <v>1263.9862738928866</v>
      </c>
      <c r="AG22" s="89" t="s">
        <v>285</v>
      </c>
      <c r="AH22" s="230">
        <f ca="1">AH16</f>
        <v>438.8128823782929</v>
      </c>
      <c r="AI22" s="230">
        <f t="shared" ref="AI22:AO22" ca="1" si="3">AI16</f>
        <v>869.2446785018318</v>
      </c>
      <c r="AJ22" s="230">
        <f t="shared" ca="1" si="3"/>
        <v>412.30940012559199</v>
      </c>
      <c r="AK22" s="230">
        <f t="shared" ca="1" si="3"/>
        <v>429.54885259166093</v>
      </c>
      <c r="AL22" s="230">
        <f t="shared" ca="1" si="3"/>
        <v>457.93351131574008</v>
      </c>
      <c r="AM22" s="230">
        <f t="shared" ca="1" si="3"/>
        <v>430.25170152240884</v>
      </c>
      <c r="AN22" s="230">
        <f t="shared" ca="1" si="3"/>
        <v>443.58679968426861</v>
      </c>
      <c r="AO22" s="230">
        <f t="shared" ca="1" si="3"/>
        <v>428.46003664912269</v>
      </c>
      <c r="AP22" s="89" t="s">
        <v>250</v>
      </c>
      <c r="AQ22" s="343" t="s">
        <v>283</v>
      </c>
      <c r="AR22" s="325" t="s">
        <v>72</v>
      </c>
    </row>
    <row r="23" spans="1:44">
      <c r="A23" s="341"/>
      <c r="B23" s="316"/>
      <c r="C23" s="87" t="s">
        <v>278</v>
      </c>
      <c r="D23" s="171" t="s">
        <v>18</v>
      </c>
      <c r="E23" s="36" t="str">
        <f>CONCATENATE(B22," ",D23)</f>
        <v>Urban Infiltration Practices without sand/vegetation Median</v>
      </c>
      <c r="F23" s="88">
        <f ca="1">F17</f>
        <v>1945.9953860682801</v>
      </c>
      <c r="G23" s="6">
        <f t="shared" ref="G23:M24" ca="1" si="4">G17</f>
        <v>3854.8233236933952</v>
      </c>
      <c r="H23" s="6">
        <f t="shared" ca="1" si="4"/>
        <v>1828.4608827534114</v>
      </c>
      <c r="I23" s="6">
        <f t="shared" ca="1" si="4"/>
        <v>1904.9123642493273</v>
      </c>
      <c r="J23" s="6">
        <f t="shared" ca="1" si="4"/>
        <v>2030.7892861227431</v>
      </c>
      <c r="K23" s="6">
        <f t="shared" ca="1" si="4"/>
        <v>1908.0292754232325</v>
      </c>
      <c r="L23" s="6">
        <f t="shared" ca="1" si="4"/>
        <v>1967.1661889867125</v>
      </c>
      <c r="M23" s="6">
        <f t="shared" ca="1" si="4"/>
        <v>1900.0838122957625</v>
      </c>
      <c r="N23" s="9" t="s">
        <v>250</v>
      </c>
      <c r="O23" s="281">
        <f ca="1">O17</f>
        <v>13722.274206231741</v>
      </c>
      <c r="P23" s="6">
        <f t="shared" ref="P23:V23" ca="1" si="5">P17</f>
        <v>27182.460473954263</v>
      </c>
      <c r="Q23" s="6">
        <f t="shared" ca="1" si="5"/>
        <v>12893.474356691249</v>
      </c>
      <c r="R23" s="6">
        <f t="shared" ca="1" si="5"/>
        <v>13432.575425517114</v>
      </c>
      <c r="S23" s="6">
        <f t="shared" ca="1" si="5"/>
        <v>14320.202215667588</v>
      </c>
      <c r="T23" s="6">
        <f t="shared" ca="1" si="5"/>
        <v>13454.554465195728</v>
      </c>
      <c r="U23" s="6">
        <f t="shared" ca="1" si="5"/>
        <v>13871.561077563834</v>
      </c>
      <c r="V23" s="6">
        <f t="shared" ca="1" si="5"/>
        <v>13398.526673705979</v>
      </c>
      <c r="W23" s="90">
        <f>W17</f>
        <v>20</v>
      </c>
      <c r="X23" s="89" t="s">
        <v>285</v>
      </c>
      <c r="Y23" s="230">
        <f ca="1">Y17</f>
        <v>1294.5278735243085</v>
      </c>
      <c r="Z23" s="230">
        <f t="shared" ref="Z23:AF23" ca="1" si="6">Z17</f>
        <v>2564.3309720867064</v>
      </c>
      <c r="AA23" s="230">
        <f t="shared" ca="1" si="6"/>
        <v>1216.3407967556723</v>
      </c>
      <c r="AB23" s="230">
        <f t="shared" ca="1" si="6"/>
        <v>1267.1983550403547</v>
      </c>
      <c r="AC23" s="230">
        <f t="shared" ca="1" si="6"/>
        <v>1350.9350304534489</v>
      </c>
      <c r="AD23" s="230">
        <f t="shared" ca="1" si="6"/>
        <v>1269.2718072298135</v>
      </c>
      <c r="AE23" s="230">
        <f t="shared" ca="1" si="6"/>
        <v>1308.6112545430954</v>
      </c>
      <c r="AF23" s="230">
        <f t="shared" ca="1" si="6"/>
        <v>1263.9862738928866</v>
      </c>
      <c r="AG23" s="89" t="s">
        <v>285</v>
      </c>
      <c r="AH23" s="230">
        <f ca="1">AH17</f>
        <v>560.09282474415272</v>
      </c>
      <c r="AI23" s="230">
        <f t="shared" ref="AI23:AO23" ca="1" si="7">AI17</f>
        <v>1109.4881826103781</v>
      </c>
      <c r="AJ23" s="230">
        <f t="shared" ca="1" si="7"/>
        <v>526.26425945678568</v>
      </c>
      <c r="AK23" s="230">
        <f t="shared" ca="1" si="7"/>
        <v>548.26838471498422</v>
      </c>
      <c r="AL23" s="230">
        <f t="shared" ca="1" si="7"/>
        <v>584.49804961908524</v>
      </c>
      <c r="AM23" s="230">
        <f t="shared" ca="1" si="7"/>
        <v>549.16548837533583</v>
      </c>
      <c r="AN23" s="230">
        <f t="shared" ca="1" si="7"/>
        <v>566.18616643117696</v>
      </c>
      <c r="AO23" s="230">
        <f t="shared" ca="1" si="7"/>
        <v>546.87863974310119</v>
      </c>
      <c r="AP23" s="89" t="s">
        <v>250</v>
      </c>
      <c r="AQ23" s="344"/>
      <c r="AR23" s="326"/>
    </row>
    <row r="24" spans="1:44">
      <c r="A24" s="342"/>
      <c r="B24" s="320"/>
      <c r="C24" s="87" t="s">
        <v>278</v>
      </c>
      <c r="D24" s="171" t="s">
        <v>208</v>
      </c>
      <c r="E24" s="36" t="str">
        <f>CONCATENATE(B22," ",D24)</f>
        <v>Urban Infiltration Practices without sand/vegetation High</v>
      </c>
      <c r="F24" s="88">
        <f ca="1">F18</f>
        <v>3444.4556566064248</v>
      </c>
      <c r="G24" s="6">
        <f t="shared" ca="1" si="4"/>
        <v>6823.1240924680242</v>
      </c>
      <c r="H24" s="6">
        <f t="shared" ca="1" si="4"/>
        <v>3236.4169388953437</v>
      </c>
      <c r="I24" s="6">
        <f t="shared" ca="1" si="4"/>
        <v>3371.7377828088497</v>
      </c>
      <c r="J24" s="6">
        <f t="shared" ca="1" si="4"/>
        <v>3594.5427692374656</v>
      </c>
      <c r="K24" s="6">
        <f t="shared" ca="1" si="4"/>
        <v>3377.2547857786199</v>
      </c>
      <c r="L24" s="6">
        <f t="shared" ca="1" si="4"/>
        <v>3481.9284545325431</v>
      </c>
      <c r="M24" s="6">
        <f t="shared" ca="1" si="4"/>
        <v>3363.1911371134161</v>
      </c>
      <c r="N24" s="9" t="s">
        <v>250</v>
      </c>
      <c r="O24" s="88">
        <f ca="1">O18</f>
        <v>25777.500477398207</v>
      </c>
      <c r="P24" s="6">
        <f t="shared" ref="P24:V24" ca="1" si="8">P18</f>
        <v>51062.664782343774</v>
      </c>
      <c r="Q24" s="6">
        <f t="shared" ca="1" si="8"/>
        <v>24220.587374211907</v>
      </c>
      <c r="R24" s="6">
        <f t="shared" ca="1" si="8"/>
        <v>25233.296918575455</v>
      </c>
      <c r="S24" s="6">
        <f t="shared" ca="1" si="8"/>
        <v>26900.717323020104</v>
      </c>
      <c r="T24" s="6">
        <f t="shared" ca="1" si="8"/>
        <v>25274.584878376674</v>
      </c>
      <c r="U24" s="6">
        <f t="shared" ca="1" si="8"/>
        <v>26057.938132206527</v>
      </c>
      <c r="V24" s="6">
        <f t="shared" ca="1" si="8"/>
        <v>25169.335821247452</v>
      </c>
      <c r="W24" s="90">
        <f>W18</f>
        <v>20</v>
      </c>
      <c r="X24" s="89" t="s">
        <v>285</v>
      </c>
      <c r="Y24" s="230">
        <f ca="1">Y18</f>
        <v>1294.5278735243085</v>
      </c>
      <c r="Z24" s="230">
        <f t="shared" ref="Z24:AF24" ca="1" si="9">Z18</f>
        <v>2564.3309720867064</v>
      </c>
      <c r="AA24" s="230">
        <f t="shared" ca="1" si="9"/>
        <v>1216.3407967556723</v>
      </c>
      <c r="AB24" s="230">
        <f t="shared" ca="1" si="9"/>
        <v>1267.1983550403547</v>
      </c>
      <c r="AC24" s="230">
        <f t="shared" ca="1" si="9"/>
        <v>1350.9350304534489</v>
      </c>
      <c r="AD24" s="230">
        <f t="shared" ca="1" si="9"/>
        <v>1269.2718072298135</v>
      </c>
      <c r="AE24" s="230">
        <f t="shared" ca="1" si="9"/>
        <v>1308.6112545430954</v>
      </c>
      <c r="AF24" s="230">
        <f t="shared" ca="1" si="9"/>
        <v>1263.9862738928866</v>
      </c>
      <c r="AG24" s="89" t="s">
        <v>285</v>
      </c>
      <c r="AH24" s="230">
        <f ca="1">AH18</f>
        <v>920.62501704993599</v>
      </c>
      <c r="AI24" s="230">
        <f t="shared" ref="AI24:AO24" ca="1" si="10">AI18</f>
        <v>1823.6665993694205</v>
      </c>
      <c r="AJ24" s="230">
        <f t="shared" ca="1" si="10"/>
        <v>865.02097765042527</v>
      </c>
      <c r="AK24" s="230">
        <f t="shared" ca="1" si="10"/>
        <v>901.18917566340917</v>
      </c>
      <c r="AL24" s="230">
        <f t="shared" ca="1" si="10"/>
        <v>960.7399043935751</v>
      </c>
      <c r="AM24" s="230">
        <f t="shared" ca="1" si="10"/>
        <v>902.66374565630986</v>
      </c>
      <c r="AN24" s="230">
        <f t="shared" ca="1" si="10"/>
        <v>930.64064757880453</v>
      </c>
      <c r="AO24" s="230">
        <f t="shared" ca="1" si="10"/>
        <v>898.9048507588376</v>
      </c>
      <c r="AP24" s="89" t="s">
        <v>250</v>
      </c>
      <c r="AQ24" s="345"/>
      <c r="AR24" s="327"/>
    </row>
    <row r="25" spans="1:44">
      <c r="A25" s="340">
        <v>8</v>
      </c>
      <c r="B25" s="319" t="s">
        <v>8</v>
      </c>
      <c r="C25" s="87"/>
      <c r="D25" s="171" t="s">
        <v>207</v>
      </c>
      <c r="E25" s="36" t="str">
        <f>CONCATENATE(B25," ",D25)</f>
        <v>Urban Nutrient Management Low</v>
      </c>
      <c r="F25" s="88">
        <f>VLOOKUP(F$3,'Nutrient Mgmt'!$A$22:$D$22,'Nutrient Mgmt'!$B$23,FALSE)</f>
        <v>20.005212448287654</v>
      </c>
      <c r="G25" s="6" t="s">
        <v>118</v>
      </c>
      <c r="H25" s="6" t="s">
        <v>118</v>
      </c>
      <c r="I25" s="6" t="s">
        <v>118</v>
      </c>
      <c r="J25" s="6" t="s">
        <v>118</v>
      </c>
      <c r="K25" s="6" t="s">
        <v>118</v>
      </c>
      <c r="L25" s="6" t="s">
        <v>118</v>
      </c>
      <c r="M25" s="6" t="s">
        <v>118</v>
      </c>
      <c r="N25" s="9" t="s">
        <v>251</v>
      </c>
      <c r="O25" s="88">
        <f>VLOOKUP(O$3,'Nutrient Mgmt'!$A$22:$D$22,'Nutrient Mgmt'!$C$23,FALSE)</f>
        <v>52.5</v>
      </c>
      <c r="P25" s="6" t="s">
        <v>118</v>
      </c>
      <c r="Q25" s="6" t="s">
        <v>118</v>
      </c>
      <c r="R25" s="6" t="s">
        <v>118</v>
      </c>
      <c r="S25" s="6" t="s">
        <v>118</v>
      </c>
      <c r="T25" s="6" t="s">
        <v>118</v>
      </c>
      <c r="U25" s="6" t="s">
        <v>118</v>
      </c>
      <c r="V25" s="6" t="s">
        <v>118</v>
      </c>
      <c r="W25" s="90">
        <f>'Nutrient Mgmt'!B19</f>
        <v>3</v>
      </c>
      <c r="X25" s="89" t="s">
        <v>286</v>
      </c>
      <c r="Y25" s="230">
        <v>0</v>
      </c>
      <c r="Z25" s="6">
        <v>0</v>
      </c>
      <c r="AA25" s="6">
        <v>0</v>
      </c>
      <c r="AB25" s="6">
        <v>0</v>
      </c>
      <c r="AC25" s="6">
        <v>0</v>
      </c>
      <c r="AD25" s="6">
        <v>0</v>
      </c>
      <c r="AE25" s="6">
        <v>0</v>
      </c>
      <c r="AF25" s="6">
        <v>0</v>
      </c>
      <c r="AG25" s="89" t="s">
        <v>286</v>
      </c>
      <c r="AH25" s="230">
        <v>0</v>
      </c>
      <c r="AI25" s="230">
        <v>0</v>
      </c>
      <c r="AJ25" s="230">
        <v>0</v>
      </c>
      <c r="AK25" s="230">
        <v>0</v>
      </c>
      <c r="AL25" s="230">
        <v>0</v>
      </c>
      <c r="AM25" s="230">
        <v>0</v>
      </c>
      <c r="AN25" s="230">
        <v>0</v>
      </c>
      <c r="AO25" s="230">
        <v>0</v>
      </c>
      <c r="AP25" s="89" t="s">
        <v>251</v>
      </c>
      <c r="AQ25" s="343" t="s">
        <v>403</v>
      </c>
      <c r="AR25" s="325" t="s">
        <v>74</v>
      </c>
    </row>
    <row r="26" spans="1:44">
      <c r="A26" s="341"/>
      <c r="B26" s="316"/>
      <c r="C26" s="87"/>
      <c r="D26" s="171" t="s">
        <v>18</v>
      </c>
      <c r="E26" s="36" t="str">
        <f>CONCATENATE(B25," ",D26)</f>
        <v>Urban Nutrient Management Median</v>
      </c>
      <c r="F26" s="88">
        <f>VLOOKUP(F$3,'Nutrient Mgmt'!$A$22:$D$22,'Nutrient Mgmt'!$B$23,FALSE)</f>
        <v>20.005212448287654</v>
      </c>
      <c r="G26" s="6" t="s">
        <v>118</v>
      </c>
      <c r="H26" s="6" t="s">
        <v>118</v>
      </c>
      <c r="I26" s="6" t="s">
        <v>118</v>
      </c>
      <c r="J26" s="6" t="s">
        <v>118</v>
      </c>
      <c r="K26" s="6" t="s">
        <v>118</v>
      </c>
      <c r="L26" s="6" t="s">
        <v>118</v>
      </c>
      <c r="M26" s="6" t="s">
        <v>118</v>
      </c>
      <c r="N26" s="9" t="s">
        <v>251</v>
      </c>
      <c r="O26" s="88">
        <f>VLOOKUP(O$3,'Nutrient Mgmt'!$A$22:$D$22,'Nutrient Mgmt'!$C$23,FALSE)</f>
        <v>52.5</v>
      </c>
      <c r="P26" s="6" t="s">
        <v>118</v>
      </c>
      <c r="Q26" s="6" t="s">
        <v>118</v>
      </c>
      <c r="R26" s="6" t="s">
        <v>118</v>
      </c>
      <c r="S26" s="6" t="s">
        <v>118</v>
      </c>
      <c r="T26" s="6" t="s">
        <v>118</v>
      </c>
      <c r="U26" s="6" t="s">
        <v>118</v>
      </c>
      <c r="V26" s="6" t="s">
        <v>118</v>
      </c>
      <c r="W26" s="90">
        <f>W25</f>
        <v>3</v>
      </c>
      <c r="X26" s="89" t="s">
        <v>286</v>
      </c>
      <c r="Y26" s="230">
        <v>0</v>
      </c>
      <c r="Z26" s="6">
        <v>0</v>
      </c>
      <c r="AA26" s="6">
        <v>0</v>
      </c>
      <c r="AB26" s="6">
        <v>0</v>
      </c>
      <c r="AC26" s="6">
        <v>0</v>
      </c>
      <c r="AD26" s="6">
        <v>0</v>
      </c>
      <c r="AE26" s="6">
        <v>0</v>
      </c>
      <c r="AF26" s="6">
        <v>0</v>
      </c>
      <c r="AG26" s="89" t="s">
        <v>286</v>
      </c>
      <c r="AH26" s="230">
        <v>0</v>
      </c>
      <c r="AI26" s="230">
        <v>0</v>
      </c>
      <c r="AJ26" s="230">
        <v>0</v>
      </c>
      <c r="AK26" s="230">
        <v>0</v>
      </c>
      <c r="AL26" s="230">
        <v>0</v>
      </c>
      <c r="AM26" s="230">
        <v>0</v>
      </c>
      <c r="AN26" s="230">
        <v>0</v>
      </c>
      <c r="AO26" s="230">
        <v>0</v>
      </c>
      <c r="AP26" s="89" t="s">
        <v>251</v>
      </c>
      <c r="AQ26" s="344"/>
      <c r="AR26" s="326"/>
    </row>
    <row r="27" spans="1:44">
      <c r="A27" s="342"/>
      <c r="B27" s="320"/>
      <c r="C27" s="87"/>
      <c r="D27" s="171" t="s">
        <v>208</v>
      </c>
      <c r="E27" s="36" t="str">
        <f>CONCATENATE(B25," ",D27)</f>
        <v>Urban Nutrient Management High</v>
      </c>
      <c r="F27" s="88">
        <f>VLOOKUP(F$3,'Nutrient Mgmt'!$A$22:$D$22,'Nutrient Mgmt'!$B$23,FALSE)</f>
        <v>20.005212448287654</v>
      </c>
      <c r="G27" s="6" t="s">
        <v>118</v>
      </c>
      <c r="H27" s="6" t="s">
        <v>118</v>
      </c>
      <c r="I27" s="6" t="s">
        <v>118</v>
      </c>
      <c r="J27" s="6" t="s">
        <v>118</v>
      </c>
      <c r="K27" s="6" t="s">
        <v>118</v>
      </c>
      <c r="L27" s="6" t="s">
        <v>118</v>
      </c>
      <c r="M27" s="6" t="s">
        <v>118</v>
      </c>
      <c r="N27" s="9" t="s">
        <v>251</v>
      </c>
      <c r="O27" s="88">
        <f>VLOOKUP(O$3,'Nutrient Mgmt'!$A$22:$D$22,'Nutrient Mgmt'!$C$23,FALSE)</f>
        <v>52.5</v>
      </c>
      <c r="P27" s="6" t="s">
        <v>118</v>
      </c>
      <c r="Q27" s="6" t="s">
        <v>118</v>
      </c>
      <c r="R27" s="6" t="s">
        <v>118</v>
      </c>
      <c r="S27" s="6" t="s">
        <v>118</v>
      </c>
      <c r="T27" s="6" t="s">
        <v>118</v>
      </c>
      <c r="U27" s="6" t="s">
        <v>118</v>
      </c>
      <c r="V27" s="6" t="s">
        <v>118</v>
      </c>
      <c r="W27" s="90">
        <f>W25</f>
        <v>3</v>
      </c>
      <c r="X27" s="89" t="s">
        <v>286</v>
      </c>
      <c r="Y27" s="230">
        <v>0</v>
      </c>
      <c r="Z27" s="6">
        <v>0</v>
      </c>
      <c r="AA27" s="6">
        <v>0</v>
      </c>
      <c r="AB27" s="6">
        <v>0</v>
      </c>
      <c r="AC27" s="6">
        <v>0</v>
      </c>
      <c r="AD27" s="6">
        <v>0</v>
      </c>
      <c r="AE27" s="6">
        <v>0</v>
      </c>
      <c r="AF27" s="6">
        <v>0</v>
      </c>
      <c r="AG27" s="89" t="s">
        <v>286</v>
      </c>
      <c r="AH27" s="230">
        <v>0</v>
      </c>
      <c r="AI27" s="230">
        <v>0</v>
      </c>
      <c r="AJ27" s="230">
        <v>0</v>
      </c>
      <c r="AK27" s="230">
        <v>0</v>
      </c>
      <c r="AL27" s="230">
        <v>0</v>
      </c>
      <c r="AM27" s="230">
        <v>0</v>
      </c>
      <c r="AN27" s="230">
        <v>0</v>
      </c>
      <c r="AO27" s="230">
        <v>0</v>
      </c>
      <c r="AP27" s="89" t="s">
        <v>251</v>
      </c>
      <c r="AQ27" s="345"/>
      <c r="AR27" s="327"/>
    </row>
    <row r="28" spans="1:44">
      <c r="A28" s="340">
        <v>9</v>
      </c>
      <c r="B28" s="319" t="s">
        <v>0</v>
      </c>
      <c r="C28" s="87"/>
      <c r="D28" s="171" t="s">
        <v>207</v>
      </c>
      <c r="E28" s="36" t="str">
        <f>CONCATENATE(B28," ",D28)</f>
        <v>Tree Planting Low</v>
      </c>
      <c r="F28" s="88">
        <f>TP_Watershed</f>
        <v>89.850598949172564</v>
      </c>
      <c r="G28" s="6" t="s">
        <v>118</v>
      </c>
      <c r="H28" s="6">
        <f>TP_DE</f>
        <v>16.130896284220849</v>
      </c>
      <c r="I28" s="6">
        <f>TP_MD</f>
        <v>116.18589161338545</v>
      </c>
      <c r="J28" s="6" t="s">
        <v>118</v>
      </c>
      <c r="K28" s="6">
        <f>TP_PA</f>
        <v>147.92524976796412</v>
      </c>
      <c r="L28" s="6">
        <f>TP_VA</f>
        <v>73.368282362592907</v>
      </c>
      <c r="M28" s="6">
        <f>TP_WV</f>
        <v>95.642674717699464</v>
      </c>
      <c r="N28" s="9" t="s">
        <v>251</v>
      </c>
      <c r="O28" s="88">
        <f>TP_Cap_Watershed</f>
        <v>1275.5513888888886</v>
      </c>
      <c r="P28" s="6" t="s">
        <v>118</v>
      </c>
      <c r="Q28" s="6">
        <f>TP_Cap_DE</f>
        <v>229</v>
      </c>
      <c r="R28" s="6">
        <f>TP_Cap_MD</f>
        <v>1649.4166666666665</v>
      </c>
      <c r="S28" s="6" t="s">
        <v>118</v>
      </c>
      <c r="T28" s="6">
        <f>TP_Cap_PA</f>
        <v>2100</v>
      </c>
      <c r="U28" s="6">
        <f>TP_Cap_VA</f>
        <v>1041.5625</v>
      </c>
      <c r="V28" s="6">
        <f>TP_Cap_WV</f>
        <v>1357.7777777777767</v>
      </c>
      <c r="W28" s="90">
        <f>'Tree Planting'!G40</f>
        <v>75</v>
      </c>
      <c r="X28" s="89" t="s">
        <v>286</v>
      </c>
      <c r="Y28" s="230">
        <v>0</v>
      </c>
      <c r="Z28" s="6">
        <v>0</v>
      </c>
      <c r="AA28" s="6">
        <v>0</v>
      </c>
      <c r="AB28" s="6">
        <v>0</v>
      </c>
      <c r="AC28" s="6">
        <v>0</v>
      </c>
      <c r="AD28" s="6">
        <v>0</v>
      </c>
      <c r="AE28" s="6">
        <v>0</v>
      </c>
      <c r="AF28" s="6">
        <v>0</v>
      </c>
      <c r="AG28" s="89" t="s">
        <v>286</v>
      </c>
      <c r="AH28" s="230">
        <v>0</v>
      </c>
      <c r="AI28" s="230">
        <v>0</v>
      </c>
      <c r="AJ28" s="230">
        <v>0</v>
      </c>
      <c r="AK28" s="230">
        <v>0</v>
      </c>
      <c r="AL28" s="230">
        <v>0</v>
      </c>
      <c r="AM28" s="230">
        <v>0</v>
      </c>
      <c r="AN28" s="230">
        <v>0</v>
      </c>
      <c r="AO28" s="230">
        <v>0</v>
      </c>
      <c r="AP28" s="89" t="s">
        <v>251</v>
      </c>
      <c r="AQ28" s="343" t="s">
        <v>230</v>
      </c>
      <c r="AR28" s="325" t="s">
        <v>221</v>
      </c>
    </row>
    <row r="29" spans="1:44">
      <c r="A29" s="341"/>
      <c r="B29" s="316"/>
      <c r="C29" s="87"/>
      <c r="D29" s="171" t="s">
        <v>18</v>
      </c>
      <c r="E29" s="36" t="str">
        <f>CONCATENATE(B28," ",D29)</f>
        <v>Tree Planting Median</v>
      </c>
      <c r="F29" s="88">
        <f>TP_Watershed</f>
        <v>89.850598949172564</v>
      </c>
      <c r="G29" s="6" t="s">
        <v>118</v>
      </c>
      <c r="H29" s="6">
        <f>TP_DE</f>
        <v>16.130896284220849</v>
      </c>
      <c r="I29" s="6">
        <f>TP_MD</f>
        <v>116.18589161338545</v>
      </c>
      <c r="J29" s="6" t="s">
        <v>118</v>
      </c>
      <c r="K29" s="6">
        <f>TP_PA</f>
        <v>147.92524976796412</v>
      </c>
      <c r="L29" s="6">
        <f>TP_VA</f>
        <v>73.368282362592907</v>
      </c>
      <c r="M29" s="6">
        <f>TP_WV</f>
        <v>95.642674717699464</v>
      </c>
      <c r="N29" s="9" t="s">
        <v>251</v>
      </c>
      <c r="O29" s="88">
        <f>O28</f>
        <v>1275.5513888888886</v>
      </c>
      <c r="P29" s="6" t="s">
        <v>118</v>
      </c>
      <c r="Q29" s="6">
        <f t="shared" ref="Q29:W29" si="11">Q28</f>
        <v>229</v>
      </c>
      <c r="R29" s="6">
        <f t="shared" si="11"/>
        <v>1649.4166666666665</v>
      </c>
      <c r="S29" s="6" t="str">
        <f t="shared" si="11"/>
        <v>NA</v>
      </c>
      <c r="T29" s="6">
        <f t="shared" si="11"/>
        <v>2100</v>
      </c>
      <c r="U29" s="6">
        <f t="shared" si="11"/>
        <v>1041.5625</v>
      </c>
      <c r="V29" s="6">
        <f t="shared" si="11"/>
        <v>1357.7777777777767</v>
      </c>
      <c r="W29" s="90">
        <f t="shared" si="11"/>
        <v>75</v>
      </c>
      <c r="X29" s="89" t="s">
        <v>286</v>
      </c>
      <c r="Y29" s="230">
        <v>0</v>
      </c>
      <c r="Z29" s="6">
        <v>0</v>
      </c>
      <c r="AA29" s="6">
        <v>0</v>
      </c>
      <c r="AB29" s="6">
        <v>0</v>
      </c>
      <c r="AC29" s="6">
        <v>0</v>
      </c>
      <c r="AD29" s="6">
        <v>0</v>
      </c>
      <c r="AE29" s="6">
        <v>0</v>
      </c>
      <c r="AF29" s="6">
        <v>0</v>
      </c>
      <c r="AG29" s="89" t="s">
        <v>286</v>
      </c>
      <c r="AH29" s="230">
        <v>0</v>
      </c>
      <c r="AI29" s="230">
        <v>0</v>
      </c>
      <c r="AJ29" s="230">
        <v>0</v>
      </c>
      <c r="AK29" s="230">
        <v>0</v>
      </c>
      <c r="AL29" s="230">
        <v>0</v>
      </c>
      <c r="AM29" s="230">
        <v>0</v>
      </c>
      <c r="AN29" s="230">
        <v>0</v>
      </c>
      <c r="AO29" s="230">
        <v>0</v>
      </c>
      <c r="AP29" s="89" t="s">
        <v>251</v>
      </c>
      <c r="AQ29" s="344"/>
      <c r="AR29" s="326"/>
    </row>
    <row r="30" spans="1:44">
      <c r="A30" s="342"/>
      <c r="B30" s="320"/>
      <c r="C30" s="87"/>
      <c r="D30" s="171" t="s">
        <v>208</v>
      </c>
      <c r="E30" s="36" t="str">
        <f>CONCATENATE(B28," ",D30)</f>
        <v>Tree Planting High</v>
      </c>
      <c r="F30" s="88">
        <f>TP_Watershed</f>
        <v>89.850598949172564</v>
      </c>
      <c r="G30" s="6" t="s">
        <v>118</v>
      </c>
      <c r="H30" s="6">
        <f>TP_DE</f>
        <v>16.130896284220849</v>
      </c>
      <c r="I30" s="6">
        <f>TP_MD</f>
        <v>116.18589161338545</v>
      </c>
      <c r="J30" s="6" t="s">
        <v>118</v>
      </c>
      <c r="K30" s="6">
        <f>TP_PA</f>
        <v>147.92524976796412</v>
      </c>
      <c r="L30" s="6">
        <f>TP_VA</f>
        <v>73.368282362592907</v>
      </c>
      <c r="M30" s="6">
        <f>TP_WV</f>
        <v>95.642674717699464</v>
      </c>
      <c r="N30" s="9" t="s">
        <v>251</v>
      </c>
      <c r="O30" s="88">
        <f>O28</f>
        <v>1275.5513888888886</v>
      </c>
      <c r="P30" s="6" t="s">
        <v>118</v>
      </c>
      <c r="Q30" s="6">
        <f t="shared" ref="Q30:W30" si="12">Q28</f>
        <v>229</v>
      </c>
      <c r="R30" s="6">
        <f t="shared" si="12"/>
        <v>1649.4166666666665</v>
      </c>
      <c r="S30" s="6" t="str">
        <f t="shared" si="12"/>
        <v>NA</v>
      </c>
      <c r="T30" s="6">
        <f t="shared" si="12"/>
        <v>2100</v>
      </c>
      <c r="U30" s="6">
        <f t="shared" si="12"/>
        <v>1041.5625</v>
      </c>
      <c r="V30" s="6">
        <f t="shared" si="12"/>
        <v>1357.7777777777767</v>
      </c>
      <c r="W30" s="90">
        <f t="shared" si="12"/>
        <v>75</v>
      </c>
      <c r="X30" s="89" t="s">
        <v>286</v>
      </c>
      <c r="Y30" s="230">
        <v>0</v>
      </c>
      <c r="Z30" s="6">
        <v>0</v>
      </c>
      <c r="AA30" s="6">
        <v>0</v>
      </c>
      <c r="AB30" s="6">
        <v>0</v>
      </c>
      <c r="AC30" s="6">
        <v>0</v>
      </c>
      <c r="AD30" s="6">
        <v>0</v>
      </c>
      <c r="AE30" s="6">
        <v>0</v>
      </c>
      <c r="AF30" s="6">
        <v>0</v>
      </c>
      <c r="AG30" s="89" t="s">
        <v>286</v>
      </c>
      <c r="AH30" s="230">
        <v>0</v>
      </c>
      <c r="AI30" s="230">
        <v>0</v>
      </c>
      <c r="AJ30" s="230">
        <v>0</v>
      </c>
      <c r="AK30" s="230">
        <v>0</v>
      </c>
      <c r="AL30" s="230">
        <v>0</v>
      </c>
      <c r="AM30" s="230">
        <v>0</v>
      </c>
      <c r="AN30" s="230">
        <v>0</v>
      </c>
      <c r="AO30" s="230">
        <v>0</v>
      </c>
      <c r="AP30" s="89" t="s">
        <v>251</v>
      </c>
      <c r="AQ30" s="345"/>
      <c r="AR30" s="327"/>
    </row>
    <row r="31" spans="1:44">
      <c r="A31" s="340">
        <v>10</v>
      </c>
      <c r="B31" s="319" t="s">
        <v>9</v>
      </c>
      <c r="C31" s="87"/>
      <c r="D31" s="171" t="s">
        <v>207</v>
      </c>
      <c r="E31" s="36" t="str">
        <f>CONCATENATE(B31," ",D31)</f>
        <v>Urban Growth Reduction Low</v>
      </c>
      <c r="F31" s="88">
        <f>UGR_Watershed</f>
        <v>0</v>
      </c>
      <c r="G31" s="6" t="s">
        <v>118</v>
      </c>
      <c r="H31" s="6" t="s">
        <v>118</v>
      </c>
      <c r="I31" s="6" t="s">
        <v>118</v>
      </c>
      <c r="J31" s="6" t="s">
        <v>118</v>
      </c>
      <c r="K31" s="6">
        <f>UGR_Watershed</f>
        <v>0</v>
      </c>
      <c r="L31" s="6" t="s">
        <v>118</v>
      </c>
      <c r="M31" s="6" t="s">
        <v>118</v>
      </c>
      <c r="N31" s="9" t="s">
        <v>251</v>
      </c>
      <c r="O31" s="88">
        <v>0</v>
      </c>
      <c r="P31" s="6" t="s">
        <v>118</v>
      </c>
      <c r="Q31" s="6" t="s">
        <v>118</v>
      </c>
      <c r="R31" s="6" t="s">
        <v>118</v>
      </c>
      <c r="S31" s="6" t="s">
        <v>118</v>
      </c>
      <c r="T31" s="6">
        <v>0</v>
      </c>
      <c r="U31" s="6" t="s">
        <v>118</v>
      </c>
      <c r="V31" s="6" t="s">
        <v>118</v>
      </c>
      <c r="W31" s="90">
        <v>1</v>
      </c>
      <c r="X31" s="89" t="s">
        <v>286</v>
      </c>
      <c r="Y31" s="88">
        <v>0</v>
      </c>
      <c r="Z31" s="6" t="s">
        <v>118</v>
      </c>
      <c r="AA31" s="6" t="s">
        <v>118</v>
      </c>
      <c r="AB31" s="6" t="s">
        <v>118</v>
      </c>
      <c r="AC31" s="6" t="s">
        <v>118</v>
      </c>
      <c r="AD31" s="6">
        <v>0</v>
      </c>
      <c r="AE31" s="6" t="s">
        <v>118</v>
      </c>
      <c r="AF31" s="6" t="s">
        <v>118</v>
      </c>
      <c r="AG31" s="89" t="s">
        <v>286</v>
      </c>
      <c r="AH31" s="88">
        <v>0</v>
      </c>
      <c r="AI31" s="6" t="s">
        <v>118</v>
      </c>
      <c r="AJ31" s="6" t="s">
        <v>118</v>
      </c>
      <c r="AK31" s="6" t="s">
        <v>118</v>
      </c>
      <c r="AL31" s="6" t="s">
        <v>118</v>
      </c>
      <c r="AM31" s="6">
        <v>0</v>
      </c>
      <c r="AN31" s="6" t="s">
        <v>118</v>
      </c>
      <c r="AO31" s="6" t="s">
        <v>118</v>
      </c>
      <c r="AP31" s="89" t="s">
        <v>251</v>
      </c>
      <c r="AQ31" s="343" t="s">
        <v>230</v>
      </c>
      <c r="AR31" s="325" t="s">
        <v>65</v>
      </c>
    </row>
    <row r="32" spans="1:44">
      <c r="A32" s="341"/>
      <c r="B32" s="316"/>
      <c r="C32" s="87"/>
      <c r="D32" s="171" t="s">
        <v>18</v>
      </c>
      <c r="E32" s="36" t="str">
        <f>CONCATENATE(B31," ",D32)</f>
        <v>Urban Growth Reduction Median</v>
      </c>
      <c r="F32" s="88">
        <f>UGR_Watershed</f>
        <v>0</v>
      </c>
      <c r="G32" s="6" t="s">
        <v>118</v>
      </c>
      <c r="H32" s="6" t="s">
        <v>118</v>
      </c>
      <c r="I32" s="6" t="s">
        <v>118</v>
      </c>
      <c r="J32" s="6" t="s">
        <v>118</v>
      </c>
      <c r="K32" s="6">
        <f>UGR_Watershed</f>
        <v>0</v>
      </c>
      <c r="L32" s="6" t="s">
        <v>118</v>
      </c>
      <c r="M32" s="6" t="s">
        <v>118</v>
      </c>
      <c r="N32" s="9" t="s">
        <v>251</v>
      </c>
      <c r="O32" s="88">
        <v>0</v>
      </c>
      <c r="P32" s="6" t="s">
        <v>118</v>
      </c>
      <c r="Q32" s="6" t="s">
        <v>118</v>
      </c>
      <c r="R32" s="6" t="s">
        <v>118</v>
      </c>
      <c r="S32" s="6" t="s">
        <v>118</v>
      </c>
      <c r="T32" s="6">
        <v>0</v>
      </c>
      <c r="U32" s="6" t="s">
        <v>118</v>
      </c>
      <c r="V32" s="6" t="s">
        <v>118</v>
      </c>
      <c r="W32" s="90">
        <v>1</v>
      </c>
      <c r="X32" s="89" t="s">
        <v>286</v>
      </c>
      <c r="Y32" s="88">
        <v>0</v>
      </c>
      <c r="Z32" s="6" t="s">
        <v>118</v>
      </c>
      <c r="AA32" s="6" t="s">
        <v>118</v>
      </c>
      <c r="AB32" s="6" t="s">
        <v>118</v>
      </c>
      <c r="AC32" s="6" t="s">
        <v>118</v>
      </c>
      <c r="AD32" s="6">
        <v>0</v>
      </c>
      <c r="AE32" s="6" t="s">
        <v>118</v>
      </c>
      <c r="AF32" s="6" t="s">
        <v>118</v>
      </c>
      <c r="AG32" s="89" t="s">
        <v>286</v>
      </c>
      <c r="AH32" s="88">
        <v>0</v>
      </c>
      <c r="AI32" s="6" t="s">
        <v>118</v>
      </c>
      <c r="AJ32" s="6" t="s">
        <v>118</v>
      </c>
      <c r="AK32" s="6" t="s">
        <v>118</v>
      </c>
      <c r="AL32" s="6" t="s">
        <v>118</v>
      </c>
      <c r="AM32" s="6">
        <v>0</v>
      </c>
      <c r="AN32" s="6" t="s">
        <v>118</v>
      </c>
      <c r="AO32" s="6" t="s">
        <v>118</v>
      </c>
      <c r="AP32" s="89" t="s">
        <v>251</v>
      </c>
      <c r="AQ32" s="344"/>
      <c r="AR32" s="326"/>
    </row>
    <row r="33" spans="1:44">
      <c r="A33" s="342"/>
      <c r="B33" s="320"/>
      <c r="C33" s="87"/>
      <c r="D33" s="171" t="s">
        <v>208</v>
      </c>
      <c r="E33" s="36" t="str">
        <f>CONCATENATE(B31," ",D33)</f>
        <v>Urban Growth Reduction High</v>
      </c>
      <c r="F33" s="88">
        <f>UGR_Watershed</f>
        <v>0</v>
      </c>
      <c r="G33" s="6" t="s">
        <v>118</v>
      </c>
      <c r="H33" s="6" t="s">
        <v>118</v>
      </c>
      <c r="I33" s="6" t="s">
        <v>118</v>
      </c>
      <c r="J33" s="6" t="s">
        <v>118</v>
      </c>
      <c r="K33" s="6">
        <f>UGR_Watershed</f>
        <v>0</v>
      </c>
      <c r="L33" s="6" t="s">
        <v>118</v>
      </c>
      <c r="M33" s="6" t="s">
        <v>118</v>
      </c>
      <c r="N33" s="9" t="s">
        <v>251</v>
      </c>
      <c r="O33" s="88">
        <v>0</v>
      </c>
      <c r="P33" s="6" t="s">
        <v>118</v>
      </c>
      <c r="Q33" s="6" t="s">
        <v>118</v>
      </c>
      <c r="R33" s="6" t="s">
        <v>118</v>
      </c>
      <c r="S33" s="6" t="s">
        <v>118</v>
      </c>
      <c r="T33" s="6">
        <v>0</v>
      </c>
      <c r="U33" s="6" t="s">
        <v>118</v>
      </c>
      <c r="V33" s="6" t="s">
        <v>118</v>
      </c>
      <c r="W33" s="90">
        <v>1</v>
      </c>
      <c r="X33" s="89" t="s">
        <v>286</v>
      </c>
      <c r="Y33" s="88">
        <v>0</v>
      </c>
      <c r="Z33" s="6" t="s">
        <v>118</v>
      </c>
      <c r="AA33" s="6" t="s">
        <v>118</v>
      </c>
      <c r="AB33" s="6" t="s">
        <v>118</v>
      </c>
      <c r="AC33" s="6" t="s">
        <v>118</v>
      </c>
      <c r="AD33" s="6">
        <v>0</v>
      </c>
      <c r="AE33" s="6" t="s">
        <v>118</v>
      </c>
      <c r="AF33" s="6" t="s">
        <v>118</v>
      </c>
      <c r="AG33" s="89" t="s">
        <v>286</v>
      </c>
      <c r="AH33" s="88">
        <v>0</v>
      </c>
      <c r="AI33" s="6" t="s">
        <v>118</v>
      </c>
      <c r="AJ33" s="6" t="s">
        <v>118</v>
      </c>
      <c r="AK33" s="6" t="s">
        <v>118</v>
      </c>
      <c r="AL33" s="6" t="s">
        <v>118</v>
      </c>
      <c r="AM33" s="6">
        <v>0</v>
      </c>
      <c r="AN33" s="6" t="s">
        <v>118</v>
      </c>
      <c r="AO33" s="6" t="s">
        <v>118</v>
      </c>
      <c r="AP33" s="89" t="s">
        <v>251</v>
      </c>
      <c r="AQ33" s="345"/>
      <c r="AR33" s="327"/>
    </row>
    <row r="34" spans="1:44">
      <c r="A34" s="340">
        <v>11</v>
      </c>
      <c r="B34" s="319" t="s">
        <v>10</v>
      </c>
      <c r="C34" s="87"/>
      <c r="D34" s="171" t="s">
        <v>207</v>
      </c>
      <c r="E34" s="36" t="str">
        <f>CONCATENATE(B34," ",D34)</f>
        <v>Urban Stream Restoration Low</v>
      </c>
      <c r="F34" s="88">
        <f>USR_Watershed</f>
        <v>69.483437104399925</v>
      </c>
      <c r="G34" s="6" t="s">
        <v>118</v>
      </c>
      <c r="H34" s="6" t="s">
        <v>118</v>
      </c>
      <c r="I34" s="6" t="s">
        <v>118</v>
      </c>
      <c r="J34" s="6" t="s">
        <v>118</v>
      </c>
      <c r="K34" s="6" t="s">
        <v>118</v>
      </c>
      <c r="L34" s="6" t="s">
        <v>118</v>
      </c>
      <c r="M34" s="6" t="s">
        <v>118</v>
      </c>
      <c r="N34" s="147" t="s">
        <v>294</v>
      </c>
      <c r="O34" s="88">
        <f>'Stream Restoration'!C17</f>
        <v>645</v>
      </c>
      <c r="P34" s="6" t="s">
        <v>118</v>
      </c>
      <c r="Q34" s="6" t="s">
        <v>118</v>
      </c>
      <c r="R34" s="6" t="s">
        <v>118</v>
      </c>
      <c r="S34" s="6" t="s">
        <v>118</v>
      </c>
      <c r="T34" s="6" t="s">
        <v>118</v>
      </c>
      <c r="U34" s="6" t="s">
        <v>118</v>
      </c>
      <c r="V34" s="6" t="s">
        <v>118</v>
      </c>
      <c r="W34" s="90">
        <f>'Stream Restoration'!$B$13</f>
        <v>20</v>
      </c>
      <c r="X34" s="95" t="s">
        <v>295</v>
      </c>
      <c r="Y34" s="230">
        <v>0</v>
      </c>
      <c r="Z34" s="6">
        <v>0</v>
      </c>
      <c r="AA34" s="6">
        <v>0</v>
      </c>
      <c r="AB34" s="6">
        <v>0</v>
      </c>
      <c r="AC34" s="6">
        <v>0</v>
      </c>
      <c r="AD34" s="6">
        <v>0</v>
      </c>
      <c r="AE34" s="6">
        <v>0</v>
      </c>
      <c r="AF34" s="6">
        <v>0</v>
      </c>
      <c r="AG34" s="95" t="s">
        <v>295</v>
      </c>
      <c r="AH34" s="230">
        <f>'Stream Restoration'!D17</f>
        <v>8.6</v>
      </c>
      <c r="AI34" s="6" t="s">
        <v>118</v>
      </c>
      <c r="AJ34" s="6" t="s">
        <v>118</v>
      </c>
      <c r="AK34" s="6" t="s">
        <v>118</v>
      </c>
      <c r="AL34" s="6" t="s">
        <v>118</v>
      </c>
      <c r="AM34" s="6" t="s">
        <v>118</v>
      </c>
      <c r="AN34" s="6" t="s">
        <v>118</v>
      </c>
      <c r="AO34" s="6" t="s">
        <v>118</v>
      </c>
      <c r="AP34" s="89" t="s">
        <v>294</v>
      </c>
      <c r="AQ34" s="343" t="s">
        <v>230</v>
      </c>
      <c r="AR34" s="325" t="s">
        <v>66</v>
      </c>
    </row>
    <row r="35" spans="1:44">
      <c r="A35" s="341"/>
      <c r="B35" s="316"/>
      <c r="C35" s="87"/>
      <c r="D35" s="171" t="s">
        <v>18</v>
      </c>
      <c r="E35" s="36" t="str">
        <f>CONCATENATE(B34," ",D35)</f>
        <v>Urban Stream Restoration Median</v>
      </c>
      <c r="F35" s="88">
        <f>USR_Watershed</f>
        <v>69.483437104399925</v>
      </c>
      <c r="G35" s="6" t="s">
        <v>118</v>
      </c>
      <c r="H35" s="6" t="s">
        <v>118</v>
      </c>
      <c r="I35" s="6" t="s">
        <v>118</v>
      </c>
      <c r="J35" s="6" t="s">
        <v>118</v>
      </c>
      <c r="K35" s="6" t="s">
        <v>118</v>
      </c>
      <c r="L35" s="6" t="s">
        <v>118</v>
      </c>
      <c r="M35" s="6" t="s">
        <v>118</v>
      </c>
      <c r="N35" s="147" t="s">
        <v>294</v>
      </c>
      <c r="O35" s="88">
        <f>O34</f>
        <v>645</v>
      </c>
      <c r="P35" s="6" t="str">
        <f>P34</f>
        <v>NA</v>
      </c>
      <c r="Q35" s="6" t="str">
        <f t="shared" ref="Q35:V35" si="13">Q34</f>
        <v>NA</v>
      </c>
      <c r="R35" s="6" t="str">
        <f t="shared" si="13"/>
        <v>NA</v>
      </c>
      <c r="S35" s="6" t="str">
        <f t="shared" si="13"/>
        <v>NA</v>
      </c>
      <c r="T35" s="6" t="str">
        <f t="shared" si="13"/>
        <v>NA</v>
      </c>
      <c r="U35" s="6" t="str">
        <f t="shared" si="13"/>
        <v>NA</v>
      </c>
      <c r="V35" s="6" t="str">
        <f t="shared" si="13"/>
        <v>NA</v>
      </c>
      <c r="W35" s="90">
        <f>W34</f>
        <v>20</v>
      </c>
      <c r="X35" s="95" t="s">
        <v>295</v>
      </c>
      <c r="Y35" s="230">
        <v>0</v>
      </c>
      <c r="Z35" s="6">
        <v>0</v>
      </c>
      <c r="AA35" s="6">
        <v>0</v>
      </c>
      <c r="AB35" s="6">
        <v>0</v>
      </c>
      <c r="AC35" s="6">
        <v>0</v>
      </c>
      <c r="AD35" s="6">
        <v>0</v>
      </c>
      <c r="AE35" s="6">
        <v>0</v>
      </c>
      <c r="AF35" s="6">
        <v>0</v>
      </c>
      <c r="AG35" s="95" t="s">
        <v>295</v>
      </c>
      <c r="AH35" s="230">
        <f>AH34</f>
        <v>8.6</v>
      </c>
      <c r="AI35" s="230" t="str">
        <f t="shared" ref="AI35:AO35" si="14">AI34</f>
        <v>NA</v>
      </c>
      <c r="AJ35" s="230" t="str">
        <f t="shared" si="14"/>
        <v>NA</v>
      </c>
      <c r="AK35" s="230" t="str">
        <f t="shared" si="14"/>
        <v>NA</v>
      </c>
      <c r="AL35" s="230" t="str">
        <f t="shared" si="14"/>
        <v>NA</v>
      </c>
      <c r="AM35" s="230" t="str">
        <f t="shared" si="14"/>
        <v>NA</v>
      </c>
      <c r="AN35" s="230" t="str">
        <f t="shared" si="14"/>
        <v>NA</v>
      </c>
      <c r="AO35" s="230" t="str">
        <f t="shared" si="14"/>
        <v>NA</v>
      </c>
      <c r="AP35" s="89" t="s">
        <v>294</v>
      </c>
      <c r="AQ35" s="344"/>
      <c r="AR35" s="326"/>
    </row>
    <row r="36" spans="1:44">
      <c r="A36" s="342"/>
      <c r="B36" s="320"/>
      <c r="C36" s="87"/>
      <c r="D36" s="171" t="s">
        <v>208</v>
      </c>
      <c r="E36" s="36" t="str">
        <f>CONCATENATE(B34," ",D36)</f>
        <v>Urban Stream Restoration High</v>
      </c>
      <c r="F36" s="88">
        <f>USR_Watershed</f>
        <v>69.483437104399925</v>
      </c>
      <c r="G36" s="6" t="s">
        <v>118</v>
      </c>
      <c r="H36" s="6" t="s">
        <v>118</v>
      </c>
      <c r="I36" s="6" t="s">
        <v>118</v>
      </c>
      <c r="J36" s="6" t="s">
        <v>118</v>
      </c>
      <c r="K36" s="6" t="s">
        <v>118</v>
      </c>
      <c r="L36" s="6" t="s">
        <v>118</v>
      </c>
      <c r="M36" s="6" t="s">
        <v>118</v>
      </c>
      <c r="N36" s="147" t="s">
        <v>294</v>
      </c>
      <c r="O36" s="88">
        <f>O34</f>
        <v>645</v>
      </c>
      <c r="P36" s="6" t="str">
        <f>P34</f>
        <v>NA</v>
      </c>
      <c r="Q36" s="6" t="str">
        <f t="shared" ref="Q36:V36" si="15">Q34</f>
        <v>NA</v>
      </c>
      <c r="R36" s="6" t="str">
        <f t="shared" si="15"/>
        <v>NA</v>
      </c>
      <c r="S36" s="6" t="str">
        <f t="shared" si="15"/>
        <v>NA</v>
      </c>
      <c r="T36" s="6" t="str">
        <f t="shared" si="15"/>
        <v>NA</v>
      </c>
      <c r="U36" s="6" t="str">
        <f t="shared" si="15"/>
        <v>NA</v>
      </c>
      <c r="V36" s="6" t="str">
        <f t="shared" si="15"/>
        <v>NA</v>
      </c>
      <c r="W36" s="90">
        <f>W34</f>
        <v>20</v>
      </c>
      <c r="X36" s="95" t="s">
        <v>295</v>
      </c>
      <c r="Y36" s="230">
        <v>0</v>
      </c>
      <c r="Z36" s="6">
        <v>0</v>
      </c>
      <c r="AA36" s="6">
        <v>0</v>
      </c>
      <c r="AB36" s="6">
        <v>0</v>
      </c>
      <c r="AC36" s="6">
        <v>0</v>
      </c>
      <c r="AD36" s="6">
        <v>0</v>
      </c>
      <c r="AE36" s="6">
        <v>0</v>
      </c>
      <c r="AF36" s="6">
        <v>0</v>
      </c>
      <c r="AG36" s="95" t="s">
        <v>295</v>
      </c>
      <c r="AH36" s="230">
        <f>AH34</f>
        <v>8.6</v>
      </c>
      <c r="AI36" s="230" t="str">
        <f t="shared" ref="AI36:AO36" si="16">AI34</f>
        <v>NA</v>
      </c>
      <c r="AJ36" s="230" t="str">
        <f t="shared" si="16"/>
        <v>NA</v>
      </c>
      <c r="AK36" s="230" t="str">
        <f t="shared" si="16"/>
        <v>NA</v>
      </c>
      <c r="AL36" s="230" t="str">
        <f t="shared" si="16"/>
        <v>NA</v>
      </c>
      <c r="AM36" s="230" t="str">
        <f t="shared" si="16"/>
        <v>NA</v>
      </c>
      <c r="AN36" s="230" t="str">
        <f t="shared" si="16"/>
        <v>NA</v>
      </c>
      <c r="AO36" s="230" t="str">
        <f t="shared" si="16"/>
        <v>NA</v>
      </c>
      <c r="AP36" s="89" t="s">
        <v>294</v>
      </c>
      <c r="AQ36" s="345"/>
      <c r="AR36" s="327"/>
    </row>
    <row r="37" spans="1:44">
      <c r="A37" s="340">
        <v>12</v>
      </c>
      <c r="B37" s="319" t="s">
        <v>11</v>
      </c>
      <c r="C37" s="87"/>
      <c r="D37" s="171" t="s">
        <v>207</v>
      </c>
      <c r="E37" s="36" t="str">
        <f>CONCATENATE(B37," ",D37)</f>
        <v>Urban Forest Buffers Low</v>
      </c>
      <c r="F37" s="88">
        <f>UFB_Watershed</f>
        <v>118.0781339160352</v>
      </c>
      <c r="G37" s="6" t="s">
        <v>118</v>
      </c>
      <c r="H37" s="6">
        <f>UFB_DE</f>
        <v>34.93725292923083</v>
      </c>
      <c r="I37" s="6">
        <f>UFB_MD</f>
        <v>126.13562567515923</v>
      </c>
      <c r="J37" s="6">
        <f>UFB_NY</f>
        <v>165.7702005336233</v>
      </c>
      <c r="K37" s="6">
        <f>UFB_PA</f>
        <v>210.38257744777118</v>
      </c>
      <c r="L37" s="6">
        <f>UFB_VA</f>
        <v>48.137379149228082</v>
      </c>
      <c r="M37" s="6" t="s">
        <v>118</v>
      </c>
      <c r="N37" s="9" t="s">
        <v>251</v>
      </c>
      <c r="O37" s="88">
        <f>UFB_Cap_Watershed</f>
        <v>1666.1393616727237</v>
      </c>
      <c r="P37" s="6" t="s">
        <v>118</v>
      </c>
      <c r="Q37" s="6">
        <f>UFB_Cap_DE</f>
        <v>425</v>
      </c>
      <c r="R37" s="6">
        <f>UFB_Cap_MD</f>
        <v>1790.6666666666667</v>
      </c>
      <c r="S37" s="6">
        <f>UFB_Cap_NY</f>
        <v>2353.3333333333335</v>
      </c>
      <c r="T37" s="6">
        <f>UFB_Cap_PA</f>
        <v>2986.6666666666665</v>
      </c>
      <c r="U37" s="6">
        <f>UFB_Cap_VA</f>
        <v>683.37553170906665</v>
      </c>
      <c r="V37" s="6" t="s">
        <v>118</v>
      </c>
      <c r="W37" s="90">
        <f>'Forest Buffers'!I14</f>
        <v>75</v>
      </c>
      <c r="X37" s="89" t="s">
        <v>286</v>
      </c>
      <c r="Y37" s="230">
        <v>0</v>
      </c>
      <c r="Z37" s="6" t="s">
        <v>118</v>
      </c>
      <c r="AA37" s="6">
        <v>0</v>
      </c>
      <c r="AB37" s="6">
        <v>0</v>
      </c>
      <c r="AC37" s="6">
        <v>0</v>
      </c>
      <c r="AD37" s="6">
        <v>0</v>
      </c>
      <c r="AE37" s="6">
        <v>0</v>
      </c>
      <c r="AF37" s="6" t="s">
        <v>118</v>
      </c>
      <c r="AG37" s="89" t="s">
        <v>286</v>
      </c>
      <c r="AH37" s="230">
        <f>UFB_OM_Watershed</f>
        <v>0.7142857142857143</v>
      </c>
      <c r="AI37" s="6" t="s">
        <v>118</v>
      </c>
      <c r="AJ37" s="6">
        <f>UFB_OM_DE</f>
        <v>5</v>
      </c>
      <c r="AK37" s="6">
        <f>UFB_OM_MD</f>
        <v>0</v>
      </c>
      <c r="AL37" s="6">
        <f>UFB_OM_NY</f>
        <v>0</v>
      </c>
      <c r="AM37" s="6">
        <f>UFB_OM_PA</f>
        <v>0</v>
      </c>
      <c r="AN37" s="6">
        <f>UFB_OM_VA</f>
        <v>0</v>
      </c>
      <c r="AO37" s="6" t="s">
        <v>118</v>
      </c>
      <c r="AP37" s="89" t="s">
        <v>251</v>
      </c>
      <c r="AQ37" s="343"/>
      <c r="AR37" s="325" t="s">
        <v>67</v>
      </c>
    </row>
    <row r="38" spans="1:44">
      <c r="A38" s="341"/>
      <c r="B38" s="316"/>
      <c r="C38" s="87"/>
      <c r="D38" s="171" t="s">
        <v>18</v>
      </c>
      <c r="E38" s="36" t="str">
        <f>CONCATENATE(B37," ",D38)</f>
        <v>Urban Forest Buffers Median</v>
      </c>
      <c r="F38" s="88">
        <f>UFB_Watershed</f>
        <v>118.0781339160352</v>
      </c>
      <c r="G38" s="6" t="s">
        <v>118</v>
      </c>
      <c r="H38" s="6">
        <f>UFB_DE</f>
        <v>34.93725292923083</v>
      </c>
      <c r="I38" s="6">
        <f>UFB_MD</f>
        <v>126.13562567515923</v>
      </c>
      <c r="J38" s="6">
        <f>UFB_NY</f>
        <v>165.7702005336233</v>
      </c>
      <c r="K38" s="6">
        <f>UFB_PA</f>
        <v>210.38257744777118</v>
      </c>
      <c r="L38" s="6">
        <f>UFB_VA</f>
        <v>48.137379149228082</v>
      </c>
      <c r="M38" s="6" t="s">
        <v>118</v>
      </c>
      <c r="N38" s="9" t="s">
        <v>251</v>
      </c>
      <c r="O38" s="281">
        <f t="shared" ref="O38:W38" si="17">O37</f>
        <v>1666.1393616727237</v>
      </c>
      <c r="P38" s="6" t="str">
        <f t="shared" si="17"/>
        <v>NA</v>
      </c>
      <c r="Q38" s="6">
        <f t="shared" si="17"/>
        <v>425</v>
      </c>
      <c r="R38" s="6">
        <f t="shared" si="17"/>
        <v>1790.6666666666667</v>
      </c>
      <c r="S38" s="6">
        <f t="shared" si="17"/>
        <v>2353.3333333333335</v>
      </c>
      <c r="T38" s="6">
        <f t="shared" si="17"/>
        <v>2986.6666666666665</v>
      </c>
      <c r="U38" s="6">
        <f t="shared" si="17"/>
        <v>683.37553170906665</v>
      </c>
      <c r="V38" s="6" t="str">
        <f t="shared" si="17"/>
        <v>NA</v>
      </c>
      <c r="W38" s="90">
        <f t="shared" si="17"/>
        <v>75</v>
      </c>
      <c r="X38" s="89" t="s">
        <v>286</v>
      </c>
      <c r="Y38" s="230">
        <f t="shared" ref="Y38:AF38" si="18">Y37</f>
        <v>0</v>
      </c>
      <c r="Z38" s="230" t="str">
        <f t="shared" si="18"/>
        <v>NA</v>
      </c>
      <c r="AA38" s="230">
        <f t="shared" si="18"/>
        <v>0</v>
      </c>
      <c r="AB38" s="230">
        <f t="shared" si="18"/>
        <v>0</v>
      </c>
      <c r="AC38" s="230">
        <f t="shared" si="18"/>
        <v>0</v>
      </c>
      <c r="AD38" s="230">
        <f t="shared" si="18"/>
        <v>0</v>
      </c>
      <c r="AE38" s="230">
        <f t="shared" si="18"/>
        <v>0</v>
      </c>
      <c r="AF38" s="230" t="str">
        <f t="shared" si="18"/>
        <v>NA</v>
      </c>
      <c r="AG38" s="89" t="s">
        <v>286</v>
      </c>
      <c r="AH38" s="230">
        <f t="shared" ref="AH38:AO38" si="19">AH37</f>
        <v>0.7142857142857143</v>
      </c>
      <c r="AI38" s="230" t="str">
        <f t="shared" si="19"/>
        <v>NA</v>
      </c>
      <c r="AJ38" s="230">
        <f t="shared" si="19"/>
        <v>5</v>
      </c>
      <c r="AK38" s="230">
        <f t="shared" si="19"/>
        <v>0</v>
      </c>
      <c r="AL38" s="230">
        <f t="shared" si="19"/>
        <v>0</v>
      </c>
      <c r="AM38" s="230">
        <f t="shared" si="19"/>
        <v>0</v>
      </c>
      <c r="AN38" s="230">
        <f t="shared" si="19"/>
        <v>0</v>
      </c>
      <c r="AO38" s="230" t="str">
        <f t="shared" si="19"/>
        <v>NA</v>
      </c>
      <c r="AP38" s="89" t="s">
        <v>251</v>
      </c>
      <c r="AQ38" s="344"/>
      <c r="AR38" s="326"/>
    </row>
    <row r="39" spans="1:44">
      <c r="A39" s="342"/>
      <c r="B39" s="320"/>
      <c r="C39" s="87"/>
      <c r="D39" s="171" t="s">
        <v>208</v>
      </c>
      <c r="E39" s="36" t="str">
        <f>CONCATENATE(B37," ",D39)</f>
        <v>Urban Forest Buffers High</v>
      </c>
      <c r="F39" s="88">
        <f>UFB_Watershed</f>
        <v>118.0781339160352</v>
      </c>
      <c r="G39" s="6" t="s">
        <v>118</v>
      </c>
      <c r="H39" s="6">
        <f>UFB_DE</f>
        <v>34.93725292923083</v>
      </c>
      <c r="I39" s="6">
        <f>UFB_MD</f>
        <v>126.13562567515923</v>
      </c>
      <c r="J39" s="6">
        <f>UFB_NY</f>
        <v>165.7702005336233</v>
      </c>
      <c r="K39" s="6">
        <f>UFB_PA</f>
        <v>210.38257744777118</v>
      </c>
      <c r="L39" s="6">
        <f>UFB_VA</f>
        <v>48.137379149228082</v>
      </c>
      <c r="M39" s="6" t="s">
        <v>118</v>
      </c>
      <c r="N39" s="9" t="s">
        <v>251</v>
      </c>
      <c r="O39" s="281">
        <f t="shared" ref="O39:W39" si="20">O37</f>
        <v>1666.1393616727237</v>
      </c>
      <c r="P39" s="6" t="str">
        <f t="shared" si="20"/>
        <v>NA</v>
      </c>
      <c r="Q39" s="6">
        <f t="shared" si="20"/>
        <v>425</v>
      </c>
      <c r="R39" s="6">
        <f t="shared" si="20"/>
        <v>1790.6666666666667</v>
      </c>
      <c r="S39" s="6">
        <f t="shared" si="20"/>
        <v>2353.3333333333335</v>
      </c>
      <c r="T39" s="6">
        <f t="shared" si="20"/>
        <v>2986.6666666666665</v>
      </c>
      <c r="U39" s="6">
        <f t="shared" si="20"/>
        <v>683.37553170906665</v>
      </c>
      <c r="V39" s="6" t="str">
        <f t="shared" si="20"/>
        <v>NA</v>
      </c>
      <c r="W39" s="90">
        <f t="shared" si="20"/>
        <v>75</v>
      </c>
      <c r="X39" s="89" t="s">
        <v>286</v>
      </c>
      <c r="Y39" s="230">
        <f t="shared" ref="Y39:AF39" si="21">Y37</f>
        <v>0</v>
      </c>
      <c r="Z39" s="230" t="str">
        <f t="shared" si="21"/>
        <v>NA</v>
      </c>
      <c r="AA39" s="230">
        <f t="shared" si="21"/>
        <v>0</v>
      </c>
      <c r="AB39" s="230">
        <f t="shared" si="21"/>
        <v>0</v>
      </c>
      <c r="AC39" s="230">
        <f t="shared" si="21"/>
        <v>0</v>
      </c>
      <c r="AD39" s="230">
        <f t="shared" si="21"/>
        <v>0</v>
      </c>
      <c r="AE39" s="230">
        <f t="shared" si="21"/>
        <v>0</v>
      </c>
      <c r="AF39" s="230" t="str">
        <f t="shared" si="21"/>
        <v>NA</v>
      </c>
      <c r="AG39" s="89" t="s">
        <v>286</v>
      </c>
      <c r="AH39" s="230">
        <f t="shared" ref="AH39:AO39" si="22">AH37</f>
        <v>0.7142857142857143</v>
      </c>
      <c r="AI39" s="230" t="str">
        <f t="shared" si="22"/>
        <v>NA</v>
      </c>
      <c r="AJ39" s="230">
        <f t="shared" si="22"/>
        <v>5</v>
      </c>
      <c r="AK39" s="230">
        <f t="shared" si="22"/>
        <v>0</v>
      </c>
      <c r="AL39" s="230">
        <f t="shared" si="22"/>
        <v>0</v>
      </c>
      <c r="AM39" s="230">
        <f t="shared" si="22"/>
        <v>0</v>
      </c>
      <c r="AN39" s="230">
        <f t="shared" si="22"/>
        <v>0</v>
      </c>
      <c r="AO39" s="230" t="str">
        <f t="shared" si="22"/>
        <v>NA</v>
      </c>
      <c r="AP39" s="89" t="s">
        <v>251</v>
      </c>
      <c r="AQ39" s="345"/>
      <c r="AR39" s="327"/>
    </row>
    <row r="40" spans="1:44">
      <c r="A40" s="340">
        <v>13</v>
      </c>
      <c r="B40" s="319" t="s">
        <v>112</v>
      </c>
      <c r="C40" s="87"/>
      <c r="D40" s="171" t="s">
        <v>207</v>
      </c>
      <c r="E40" s="36" t="str">
        <f>CONCATENATE(B40," ",D40)</f>
        <v>Urban Grass Buffers Low</v>
      </c>
      <c r="F40" s="88">
        <f>UGB_Watershed</f>
        <v>51.510387584874366</v>
      </c>
      <c r="G40" s="6" t="s">
        <v>118</v>
      </c>
      <c r="H40" s="6">
        <f>UGB_DE</f>
        <v>42.71325081820941</v>
      </c>
      <c r="I40" s="6">
        <f>UGB_MD</f>
        <v>61.294464107482014</v>
      </c>
      <c r="J40" s="6">
        <f>UGB_NY</f>
        <v>39.865700763662112</v>
      </c>
      <c r="K40" s="6">
        <f>UGB_PA</f>
        <v>74.669090319240169</v>
      </c>
      <c r="L40" s="6">
        <f>UGB_VA</f>
        <v>49.357534278819813</v>
      </c>
      <c r="M40" s="6">
        <f>UGB_WV</f>
        <v>41.162285221832654</v>
      </c>
      <c r="N40" s="9" t="s">
        <v>251</v>
      </c>
      <c r="O40" s="88">
        <f>UGB_Cap_Watershed</f>
        <v>361.7874074074075</v>
      </c>
      <c r="P40" s="6" t="s">
        <v>118</v>
      </c>
      <c r="Q40" s="6">
        <f>UGB_Cap_DE</f>
        <v>300</v>
      </c>
      <c r="R40" s="6">
        <f>UGB_Cap_MD</f>
        <v>430.50666666666666</v>
      </c>
      <c r="S40" s="6">
        <f>UGB_Cap_NY</f>
        <v>280</v>
      </c>
      <c r="T40" s="6">
        <f>UGB_Cap_PA</f>
        <v>524.44444444444446</v>
      </c>
      <c r="U40" s="6">
        <f>UGB_Cap_VA</f>
        <v>346.66666666666703</v>
      </c>
      <c r="V40" s="6">
        <f>UGB_Cap_WV</f>
        <v>289.10666666666668</v>
      </c>
      <c r="W40" s="90">
        <f>'Grass Buffers'!H11</f>
        <v>10</v>
      </c>
      <c r="X40" s="89" t="s">
        <v>286</v>
      </c>
      <c r="Y40" s="230">
        <v>0</v>
      </c>
      <c r="Z40" s="6" t="s">
        <v>118</v>
      </c>
      <c r="AA40" s="6">
        <v>0</v>
      </c>
      <c r="AB40" s="6">
        <v>0</v>
      </c>
      <c r="AC40" s="6">
        <v>0</v>
      </c>
      <c r="AD40" s="6">
        <v>0</v>
      </c>
      <c r="AE40" s="6">
        <v>0</v>
      </c>
      <c r="AF40" s="6">
        <v>0</v>
      </c>
      <c r="AG40" s="89" t="s">
        <v>286</v>
      </c>
      <c r="AH40" s="230">
        <f>UGB_OM_Watershed</f>
        <v>0</v>
      </c>
      <c r="AI40" s="6" t="s">
        <v>118</v>
      </c>
      <c r="AJ40" s="6">
        <f>UGB_OM_DE</f>
        <v>0</v>
      </c>
      <c r="AK40" s="6">
        <f>UGB_OM_MD</f>
        <v>0</v>
      </c>
      <c r="AL40" s="6">
        <f>UGB_OM_NY</f>
        <v>0</v>
      </c>
      <c r="AM40" s="6">
        <f>UGB_OM_PA</f>
        <v>0</v>
      </c>
      <c r="AN40" s="6">
        <f>UGB_OM_VA</f>
        <v>0</v>
      </c>
      <c r="AO40" s="6">
        <f>UGB_OM_WV</f>
        <v>0</v>
      </c>
      <c r="AP40" s="89" t="s">
        <v>251</v>
      </c>
      <c r="AQ40" s="343"/>
      <c r="AR40" s="325" t="s">
        <v>226</v>
      </c>
    </row>
    <row r="41" spans="1:44">
      <c r="A41" s="341"/>
      <c r="B41" s="316"/>
      <c r="C41" s="87"/>
      <c r="D41" s="171" t="s">
        <v>18</v>
      </c>
      <c r="E41" s="36" t="str">
        <f>CONCATENATE(B40," ",D41)</f>
        <v>Urban Grass Buffers Median</v>
      </c>
      <c r="F41" s="88">
        <f>UGB_Watershed</f>
        <v>51.510387584874366</v>
      </c>
      <c r="G41" s="6" t="s">
        <v>118</v>
      </c>
      <c r="H41" s="6">
        <f>UGB_DE</f>
        <v>42.71325081820941</v>
      </c>
      <c r="I41" s="6">
        <f>UGB_MD</f>
        <v>61.294464107482014</v>
      </c>
      <c r="J41" s="6">
        <f>UGB_NY</f>
        <v>39.865700763662112</v>
      </c>
      <c r="K41" s="6">
        <f>UGB_PA</f>
        <v>74.669090319240169</v>
      </c>
      <c r="L41" s="6">
        <f>UGB_VA</f>
        <v>49.357534278819813</v>
      </c>
      <c r="M41" s="6">
        <f>UGB_WV</f>
        <v>41.162285221832654</v>
      </c>
      <c r="N41" s="9" t="s">
        <v>251</v>
      </c>
      <c r="O41" s="281">
        <f t="shared" ref="O41:W41" si="23">O40</f>
        <v>361.7874074074075</v>
      </c>
      <c r="P41" s="6" t="str">
        <f t="shared" si="23"/>
        <v>NA</v>
      </c>
      <c r="Q41" s="6">
        <f t="shared" si="23"/>
        <v>300</v>
      </c>
      <c r="R41" s="6">
        <f t="shared" si="23"/>
        <v>430.50666666666666</v>
      </c>
      <c r="S41" s="6">
        <f t="shared" si="23"/>
        <v>280</v>
      </c>
      <c r="T41" s="6">
        <f t="shared" si="23"/>
        <v>524.44444444444446</v>
      </c>
      <c r="U41" s="6">
        <f t="shared" si="23"/>
        <v>346.66666666666703</v>
      </c>
      <c r="V41" s="6">
        <f t="shared" si="23"/>
        <v>289.10666666666668</v>
      </c>
      <c r="W41" s="90">
        <f t="shared" si="23"/>
        <v>10</v>
      </c>
      <c r="X41" s="89" t="s">
        <v>286</v>
      </c>
      <c r="Y41" s="230">
        <f t="shared" ref="Y41:AF41" si="24">Y40</f>
        <v>0</v>
      </c>
      <c r="Z41" s="230" t="str">
        <f t="shared" si="24"/>
        <v>NA</v>
      </c>
      <c r="AA41" s="230">
        <f t="shared" si="24"/>
        <v>0</v>
      </c>
      <c r="AB41" s="230">
        <f t="shared" si="24"/>
        <v>0</v>
      </c>
      <c r="AC41" s="230">
        <f t="shared" si="24"/>
        <v>0</v>
      </c>
      <c r="AD41" s="230">
        <f t="shared" si="24"/>
        <v>0</v>
      </c>
      <c r="AE41" s="230">
        <f t="shared" si="24"/>
        <v>0</v>
      </c>
      <c r="AF41" s="230">
        <f t="shared" si="24"/>
        <v>0</v>
      </c>
      <c r="AG41" s="89" t="s">
        <v>286</v>
      </c>
      <c r="AH41" s="230">
        <f t="shared" ref="AH41:AO41" si="25">AH40</f>
        <v>0</v>
      </c>
      <c r="AI41" s="230" t="str">
        <f t="shared" si="25"/>
        <v>NA</v>
      </c>
      <c r="AJ41" s="230">
        <f t="shared" si="25"/>
        <v>0</v>
      </c>
      <c r="AK41" s="230">
        <f t="shared" si="25"/>
        <v>0</v>
      </c>
      <c r="AL41" s="230">
        <f t="shared" si="25"/>
        <v>0</v>
      </c>
      <c r="AM41" s="230">
        <f t="shared" si="25"/>
        <v>0</v>
      </c>
      <c r="AN41" s="230">
        <f t="shared" si="25"/>
        <v>0</v>
      </c>
      <c r="AO41" s="230">
        <f t="shared" si="25"/>
        <v>0</v>
      </c>
      <c r="AP41" s="89" t="s">
        <v>251</v>
      </c>
      <c r="AQ41" s="344"/>
      <c r="AR41" s="326"/>
    </row>
    <row r="42" spans="1:44">
      <c r="A42" s="342"/>
      <c r="B42" s="320"/>
      <c r="C42" s="87"/>
      <c r="D42" s="171" t="s">
        <v>208</v>
      </c>
      <c r="E42" s="36" t="str">
        <f>CONCATENATE(B40," ",D42)</f>
        <v>Urban Grass Buffers High</v>
      </c>
      <c r="F42" s="88">
        <f>UGB_Watershed</f>
        <v>51.510387584874366</v>
      </c>
      <c r="G42" s="6" t="s">
        <v>118</v>
      </c>
      <c r="H42" s="6">
        <f>UGB_DE</f>
        <v>42.71325081820941</v>
      </c>
      <c r="I42" s="6">
        <f>UGB_MD</f>
        <v>61.294464107482014</v>
      </c>
      <c r="J42" s="6">
        <f>UGB_NY</f>
        <v>39.865700763662112</v>
      </c>
      <c r="K42" s="6">
        <f>UGB_PA</f>
        <v>74.669090319240169</v>
      </c>
      <c r="L42" s="6">
        <f>UGB_VA</f>
        <v>49.357534278819813</v>
      </c>
      <c r="M42" s="6">
        <f>UGB_WV</f>
        <v>41.162285221832654</v>
      </c>
      <c r="N42" s="9" t="s">
        <v>251</v>
      </c>
      <c r="O42" s="281">
        <f t="shared" ref="O42:W42" si="26">O40</f>
        <v>361.7874074074075</v>
      </c>
      <c r="P42" s="6" t="str">
        <f t="shared" si="26"/>
        <v>NA</v>
      </c>
      <c r="Q42" s="6">
        <f t="shared" si="26"/>
        <v>300</v>
      </c>
      <c r="R42" s="6">
        <f t="shared" si="26"/>
        <v>430.50666666666666</v>
      </c>
      <c r="S42" s="6">
        <f t="shared" si="26"/>
        <v>280</v>
      </c>
      <c r="T42" s="6">
        <f t="shared" si="26"/>
        <v>524.44444444444446</v>
      </c>
      <c r="U42" s="6">
        <f t="shared" si="26"/>
        <v>346.66666666666703</v>
      </c>
      <c r="V42" s="6">
        <f t="shared" si="26"/>
        <v>289.10666666666668</v>
      </c>
      <c r="W42" s="90">
        <f t="shared" si="26"/>
        <v>10</v>
      </c>
      <c r="X42" s="89" t="s">
        <v>286</v>
      </c>
      <c r="Y42" s="230">
        <f t="shared" ref="Y42:AF42" si="27">Y40</f>
        <v>0</v>
      </c>
      <c r="Z42" s="230" t="str">
        <f t="shared" si="27"/>
        <v>NA</v>
      </c>
      <c r="AA42" s="230">
        <f t="shared" si="27"/>
        <v>0</v>
      </c>
      <c r="AB42" s="230">
        <f t="shared" si="27"/>
        <v>0</v>
      </c>
      <c r="AC42" s="230">
        <f t="shared" si="27"/>
        <v>0</v>
      </c>
      <c r="AD42" s="230">
        <f t="shared" si="27"/>
        <v>0</v>
      </c>
      <c r="AE42" s="230">
        <f t="shared" si="27"/>
        <v>0</v>
      </c>
      <c r="AF42" s="230">
        <f t="shared" si="27"/>
        <v>0</v>
      </c>
      <c r="AG42" s="89" t="s">
        <v>286</v>
      </c>
      <c r="AH42" s="230">
        <f t="shared" ref="AH42:AO42" si="28">AH40</f>
        <v>0</v>
      </c>
      <c r="AI42" s="230" t="str">
        <f t="shared" si="28"/>
        <v>NA</v>
      </c>
      <c r="AJ42" s="230">
        <f t="shared" si="28"/>
        <v>0</v>
      </c>
      <c r="AK42" s="230">
        <f t="shared" si="28"/>
        <v>0</v>
      </c>
      <c r="AL42" s="230">
        <f t="shared" si="28"/>
        <v>0</v>
      </c>
      <c r="AM42" s="230">
        <f t="shared" si="28"/>
        <v>0</v>
      </c>
      <c r="AN42" s="230">
        <f t="shared" si="28"/>
        <v>0</v>
      </c>
      <c r="AO42" s="230">
        <f t="shared" si="28"/>
        <v>0</v>
      </c>
      <c r="AP42" s="89" t="s">
        <v>251</v>
      </c>
      <c r="AQ42" s="345"/>
      <c r="AR42" s="327"/>
    </row>
    <row r="43" spans="1:44">
      <c r="A43" s="340">
        <v>14</v>
      </c>
      <c r="B43" s="319" t="s">
        <v>12</v>
      </c>
      <c r="C43" s="87"/>
      <c r="D43" s="171" t="s">
        <v>207</v>
      </c>
      <c r="E43" s="36" t="str">
        <f>CONCATENATE(B43," ",D43)</f>
        <v>Street Sweeping Low</v>
      </c>
      <c r="F43" s="88">
        <f>SS_Watershed</f>
        <v>1001.6716078209537</v>
      </c>
      <c r="G43" s="6" t="s">
        <v>118</v>
      </c>
      <c r="H43" s="6" t="s">
        <v>118</v>
      </c>
      <c r="I43" s="6" t="s">
        <v>118</v>
      </c>
      <c r="J43" s="6" t="s">
        <v>118</v>
      </c>
      <c r="K43" s="6" t="s">
        <v>118</v>
      </c>
      <c r="L43" s="6" t="s">
        <v>118</v>
      </c>
      <c r="M43" s="6" t="s">
        <v>118</v>
      </c>
      <c r="N43" s="9" t="s">
        <v>251</v>
      </c>
      <c r="O43" s="88">
        <f>'Street Sweeping'!C14</f>
        <v>6049</v>
      </c>
      <c r="P43" s="6" t="s">
        <v>118</v>
      </c>
      <c r="Q43" s="6" t="s">
        <v>118</v>
      </c>
      <c r="R43" s="6" t="s">
        <v>118</v>
      </c>
      <c r="S43" s="6" t="s">
        <v>118</v>
      </c>
      <c r="T43" s="6" t="s">
        <v>118</v>
      </c>
      <c r="U43" s="6" t="s">
        <v>118</v>
      </c>
      <c r="V43" s="6" t="s">
        <v>118</v>
      </c>
      <c r="W43" s="90">
        <f>'Street Sweeping'!$B$11</f>
        <v>20</v>
      </c>
      <c r="X43" s="89" t="s">
        <v>286</v>
      </c>
      <c r="Y43" s="230">
        <v>0</v>
      </c>
      <c r="Z43" s="6" t="s">
        <v>118</v>
      </c>
      <c r="AA43" s="6" t="s">
        <v>118</v>
      </c>
      <c r="AB43" s="6" t="s">
        <v>118</v>
      </c>
      <c r="AC43" s="6" t="s">
        <v>118</v>
      </c>
      <c r="AD43" s="6" t="s">
        <v>118</v>
      </c>
      <c r="AE43" s="6" t="s">
        <v>118</v>
      </c>
      <c r="AF43" s="6" t="s">
        <v>118</v>
      </c>
      <c r="AG43" s="89" t="s">
        <v>286</v>
      </c>
      <c r="AH43" s="230">
        <f>'Street Sweeping'!D14</f>
        <v>430.68880000000001</v>
      </c>
      <c r="AI43" s="6" t="s">
        <v>118</v>
      </c>
      <c r="AJ43" s="6" t="s">
        <v>118</v>
      </c>
      <c r="AK43" s="6" t="s">
        <v>118</v>
      </c>
      <c r="AL43" s="6" t="s">
        <v>118</v>
      </c>
      <c r="AM43" s="6" t="s">
        <v>118</v>
      </c>
      <c r="AN43" s="6" t="s">
        <v>118</v>
      </c>
      <c r="AO43" s="6" t="s">
        <v>118</v>
      </c>
      <c r="AP43" s="89" t="s">
        <v>251</v>
      </c>
      <c r="AQ43" s="343" t="s">
        <v>230</v>
      </c>
      <c r="AR43" s="325" t="s">
        <v>75</v>
      </c>
    </row>
    <row r="44" spans="1:44">
      <c r="A44" s="341"/>
      <c r="B44" s="316"/>
      <c r="C44" s="87"/>
      <c r="D44" s="171" t="s">
        <v>18</v>
      </c>
      <c r="E44" s="36" t="str">
        <f>CONCATENATE(B43," ",D44)</f>
        <v>Street Sweeping Median</v>
      </c>
      <c r="F44" s="88">
        <f>SS_Watershed</f>
        <v>1001.6716078209537</v>
      </c>
      <c r="G44" s="6" t="s">
        <v>118</v>
      </c>
      <c r="H44" s="6" t="s">
        <v>118</v>
      </c>
      <c r="I44" s="6" t="s">
        <v>118</v>
      </c>
      <c r="J44" s="6" t="s">
        <v>118</v>
      </c>
      <c r="K44" s="6" t="s">
        <v>118</v>
      </c>
      <c r="L44" s="6" t="s">
        <v>118</v>
      </c>
      <c r="M44" s="6" t="s">
        <v>118</v>
      </c>
      <c r="N44" s="9" t="s">
        <v>251</v>
      </c>
      <c r="O44" s="88">
        <f>O43</f>
        <v>6049</v>
      </c>
      <c r="P44" s="6" t="str">
        <f>P43</f>
        <v>NA</v>
      </c>
      <c r="Q44" s="6" t="str">
        <f t="shared" ref="Q44:V44" si="29">Q43</f>
        <v>NA</v>
      </c>
      <c r="R44" s="6" t="str">
        <f t="shared" si="29"/>
        <v>NA</v>
      </c>
      <c r="S44" s="6" t="str">
        <f t="shared" si="29"/>
        <v>NA</v>
      </c>
      <c r="T44" s="6" t="str">
        <f t="shared" si="29"/>
        <v>NA</v>
      </c>
      <c r="U44" s="6" t="str">
        <f t="shared" si="29"/>
        <v>NA</v>
      </c>
      <c r="V44" s="6" t="str">
        <f t="shared" si="29"/>
        <v>NA</v>
      </c>
      <c r="W44" s="90">
        <f>W43</f>
        <v>20</v>
      </c>
      <c r="X44" s="89" t="s">
        <v>286</v>
      </c>
      <c r="Y44" s="230">
        <f>Y43</f>
        <v>0</v>
      </c>
      <c r="Z44" s="6" t="str">
        <f>Z43</f>
        <v>NA</v>
      </c>
      <c r="AA44" s="6" t="str">
        <f t="shared" ref="AA44:AF44" si="30">AA43</f>
        <v>NA</v>
      </c>
      <c r="AB44" s="6" t="str">
        <f t="shared" si="30"/>
        <v>NA</v>
      </c>
      <c r="AC44" s="6" t="str">
        <f t="shared" si="30"/>
        <v>NA</v>
      </c>
      <c r="AD44" s="6" t="str">
        <f t="shared" si="30"/>
        <v>NA</v>
      </c>
      <c r="AE44" s="6" t="str">
        <f t="shared" si="30"/>
        <v>NA</v>
      </c>
      <c r="AF44" s="6" t="str">
        <f t="shared" si="30"/>
        <v>NA</v>
      </c>
      <c r="AG44" s="89" t="s">
        <v>286</v>
      </c>
      <c r="AH44" s="230">
        <f>AH43</f>
        <v>430.68880000000001</v>
      </c>
      <c r="AI44" s="230" t="str">
        <f>AI43</f>
        <v>NA</v>
      </c>
      <c r="AJ44" s="230" t="str">
        <f t="shared" ref="AJ44:AO44" si="31">AJ43</f>
        <v>NA</v>
      </c>
      <c r="AK44" s="230" t="str">
        <f t="shared" si="31"/>
        <v>NA</v>
      </c>
      <c r="AL44" s="230" t="str">
        <f t="shared" si="31"/>
        <v>NA</v>
      </c>
      <c r="AM44" s="230" t="str">
        <f t="shared" si="31"/>
        <v>NA</v>
      </c>
      <c r="AN44" s="230" t="str">
        <f t="shared" si="31"/>
        <v>NA</v>
      </c>
      <c r="AO44" s="230" t="str">
        <f t="shared" si="31"/>
        <v>NA</v>
      </c>
      <c r="AP44" s="89" t="s">
        <v>251</v>
      </c>
      <c r="AQ44" s="344"/>
      <c r="AR44" s="326"/>
    </row>
    <row r="45" spans="1:44">
      <c r="A45" s="342"/>
      <c r="B45" s="320"/>
      <c r="C45" s="87"/>
      <c r="D45" s="171" t="s">
        <v>208</v>
      </c>
      <c r="E45" s="36" t="str">
        <f>CONCATENATE(B43," ",D45)</f>
        <v>Street Sweeping High</v>
      </c>
      <c r="F45" s="88">
        <f>SS_Watershed</f>
        <v>1001.6716078209537</v>
      </c>
      <c r="G45" s="6" t="s">
        <v>118</v>
      </c>
      <c r="H45" s="6" t="s">
        <v>118</v>
      </c>
      <c r="I45" s="6" t="s">
        <v>118</v>
      </c>
      <c r="J45" s="6" t="s">
        <v>118</v>
      </c>
      <c r="K45" s="6" t="s">
        <v>118</v>
      </c>
      <c r="L45" s="6" t="s">
        <v>118</v>
      </c>
      <c r="M45" s="6" t="s">
        <v>118</v>
      </c>
      <c r="N45" s="9" t="s">
        <v>251</v>
      </c>
      <c r="O45" s="88">
        <f>O43</f>
        <v>6049</v>
      </c>
      <c r="P45" s="6" t="str">
        <f>P43</f>
        <v>NA</v>
      </c>
      <c r="Q45" s="6" t="str">
        <f t="shared" ref="Q45:V45" si="32">Q43</f>
        <v>NA</v>
      </c>
      <c r="R45" s="6" t="str">
        <f t="shared" si="32"/>
        <v>NA</v>
      </c>
      <c r="S45" s="6" t="str">
        <f t="shared" si="32"/>
        <v>NA</v>
      </c>
      <c r="T45" s="6" t="str">
        <f t="shared" si="32"/>
        <v>NA</v>
      </c>
      <c r="U45" s="6" t="str">
        <f t="shared" si="32"/>
        <v>NA</v>
      </c>
      <c r="V45" s="6" t="str">
        <f t="shared" si="32"/>
        <v>NA</v>
      </c>
      <c r="W45" s="90">
        <f>W43</f>
        <v>20</v>
      </c>
      <c r="X45" s="89" t="s">
        <v>286</v>
      </c>
      <c r="Y45" s="230">
        <f>Y43</f>
        <v>0</v>
      </c>
      <c r="Z45" s="6" t="str">
        <f>Z43</f>
        <v>NA</v>
      </c>
      <c r="AA45" s="6" t="str">
        <f t="shared" ref="AA45:AF45" si="33">AA43</f>
        <v>NA</v>
      </c>
      <c r="AB45" s="6" t="str">
        <f t="shared" si="33"/>
        <v>NA</v>
      </c>
      <c r="AC45" s="6" t="str">
        <f t="shared" si="33"/>
        <v>NA</v>
      </c>
      <c r="AD45" s="6" t="str">
        <f t="shared" si="33"/>
        <v>NA</v>
      </c>
      <c r="AE45" s="6" t="str">
        <f t="shared" si="33"/>
        <v>NA</v>
      </c>
      <c r="AF45" s="6" t="str">
        <f t="shared" si="33"/>
        <v>NA</v>
      </c>
      <c r="AG45" s="89" t="s">
        <v>286</v>
      </c>
      <c r="AH45" s="230">
        <f>AH43</f>
        <v>430.68880000000001</v>
      </c>
      <c r="AI45" s="230" t="str">
        <f>AI43</f>
        <v>NA</v>
      </c>
      <c r="AJ45" s="230" t="str">
        <f t="shared" ref="AJ45:AO45" si="34">AJ43</f>
        <v>NA</v>
      </c>
      <c r="AK45" s="230" t="str">
        <f t="shared" si="34"/>
        <v>NA</v>
      </c>
      <c r="AL45" s="230" t="str">
        <f t="shared" si="34"/>
        <v>NA</v>
      </c>
      <c r="AM45" s="230" t="str">
        <f t="shared" si="34"/>
        <v>NA</v>
      </c>
      <c r="AN45" s="230" t="str">
        <f t="shared" si="34"/>
        <v>NA</v>
      </c>
      <c r="AO45" s="230" t="str">
        <f t="shared" si="34"/>
        <v>NA</v>
      </c>
      <c r="AP45" s="89" t="s">
        <v>251</v>
      </c>
      <c r="AQ45" s="345"/>
      <c r="AR45" s="327"/>
    </row>
    <row r="46" spans="1:44">
      <c r="A46" s="340">
        <v>15</v>
      </c>
      <c r="B46" s="319" t="s">
        <v>14</v>
      </c>
      <c r="C46" s="87" t="s">
        <v>280</v>
      </c>
      <c r="D46" s="171" t="s">
        <v>207</v>
      </c>
      <c r="E46" s="36" t="str">
        <f>CONCATENATE(B46," ",D46)</f>
        <v>Impervious Surface Reduction Low</v>
      </c>
      <c r="F46" s="88">
        <f ca="1">INDEX(INDIRECT($C46),MATCH(F$3,'Impervious Surface Reduc'!$B$13:$B$20,0),MATCH($D46,'Impervious Surface Reduc'!$C$12:$E$12,0))</f>
        <v>14564.123603125703</v>
      </c>
      <c r="G46" s="6">
        <f ca="1">INDEX(INDIRECT($C46),MATCH(G$3,'Impervious Surface Reduc'!$B$13:$B$20,0),MATCH($D46,'Impervious Surface Reduc'!$C$12:$E$12,0))</f>
        <v>14564.123603125703</v>
      </c>
      <c r="H46" s="6">
        <f ca="1">INDEX(INDIRECT($C46),MATCH(H$3,'Impervious Surface Reduc'!$B$13:$B$20,0),MATCH($D46,'Impervious Surface Reduc'!$C$12:$E$12,0))</f>
        <v>14564.123603125703</v>
      </c>
      <c r="I46" s="6">
        <f ca="1">INDEX(INDIRECT($C46),MATCH(I$3,'Impervious Surface Reduc'!$B$13:$B$20,0),MATCH($D46,'Impervious Surface Reduc'!$C$12:$E$12,0))</f>
        <v>14564.123603125703</v>
      </c>
      <c r="J46" s="6">
        <f ca="1">INDEX(INDIRECT($C46),MATCH(J$3,'Impervious Surface Reduc'!$B$13:$B$20,0),MATCH($D46,'Impervious Surface Reduc'!$C$12:$E$12,0))</f>
        <v>14564.123603125703</v>
      </c>
      <c r="K46" s="6">
        <f ca="1">INDEX(INDIRECT($C46),MATCH(K$3,'Impervious Surface Reduc'!$B$13:$B$20,0),MATCH($D46,'Impervious Surface Reduc'!$C$12:$E$12,0))</f>
        <v>14564.123603125703</v>
      </c>
      <c r="L46" s="6">
        <f ca="1">INDEX(INDIRECT($C46),MATCH(L$3,'Impervious Surface Reduc'!$B$13:$B$20,0),MATCH($D46,'Impervious Surface Reduc'!$C$12:$E$12,0))</f>
        <v>14564.123603125703</v>
      </c>
      <c r="M46" s="6">
        <f ca="1">INDEX(INDIRECT($C46),MATCH(M$3,'Impervious Surface Reduc'!$B$13:$B$20,0),MATCH($D46,'Impervious Surface Reduc'!$C$12:$E$12,0))</f>
        <v>14564.123603125703</v>
      </c>
      <c r="N46" s="9" t="s">
        <v>251</v>
      </c>
      <c r="O46" s="88">
        <f>INDEX('Impervious Surface Reduc'!$C$23:$E$30,MATCH(O$3,'Impervious Surface Reduc'!$B$23:$B$30,0),MATCH($D46,'Impervious Surface Reduc'!$C$22:$E$22,0))</f>
        <v>77909.794091085016</v>
      </c>
      <c r="P46" s="6">
        <f>INDEX('Impervious Surface Reduc'!$C$23:$E$30,MATCH(P$3,'Impervious Surface Reduc'!$B$23:$B$30,0),MATCH($D46,'Impervious Surface Reduc'!$C$22:$E$22,0))</f>
        <v>77909.794091085016</v>
      </c>
      <c r="Q46" s="6">
        <f>INDEX('Impervious Surface Reduc'!$C$23:$E$30,MATCH(Q$3,'Impervious Surface Reduc'!$B$23:$B$30,0),MATCH($D46,'Impervious Surface Reduc'!$C$22:$E$22,0))</f>
        <v>77909.794091085016</v>
      </c>
      <c r="R46" s="6">
        <f>INDEX('Impervious Surface Reduc'!$C$23:$E$30,MATCH(R$3,'Impervious Surface Reduc'!$B$23:$B$30,0),MATCH($D46,'Impervious Surface Reduc'!$C$22:$E$22,0))</f>
        <v>77909.794091085016</v>
      </c>
      <c r="S46" s="6">
        <f>INDEX('Impervious Surface Reduc'!$C$23:$E$30,MATCH(S$3,'Impervious Surface Reduc'!$B$23:$B$30,0),MATCH($D46,'Impervious Surface Reduc'!$C$22:$E$22,0))</f>
        <v>77909.794091085016</v>
      </c>
      <c r="T46" s="6">
        <f>INDEX('Impervious Surface Reduc'!$C$23:$E$30,MATCH(T$3,'Impervious Surface Reduc'!$B$23:$B$30,0),MATCH($D46,'Impervious Surface Reduc'!$C$22:$E$22,0))</f>
        <v>77909.794091085016</v>
      </c>
      <c r="U46" s="6">
        <f>INDEX('Impervious Surface Reduc'!$C$23:$E$30,MATCH(U$3,'Impervious Surface Reduc'!$B$23:$B$30,0),MATCH($D46,'Impervious Surface Reduc'!$C$22:$E$22,0))</f>
        <v>77909.794091085016</v>
      </c>
      <c r="V46" s="6">
        <f>INDEX('Impervious Surface Reduc'!$C$23:$E$30,MATCH(V$3,'Impervious Surface Reduc'!$B$23:$B$30,0),MATCH($D46,'Impervious Surface Reduc'!$C$22:$E$22,0))</f>
        <v>77909.794091085016</v>
      </c>
      <c r="W46" s="90">
        <f>'Impervious Surface Reduc'!C3</f>
        <v>20</v>
      </c>
      <c r="X46" s="89" t="s">
        <v>286</v>
      </c>
      <c r="Y46" s="230">
        <f ca="1">INDEX('Impervious Surface Reduc'!$C$33:$E$40,MATCH(Y$3,'Impervious Surface Reduc'!$B$33:$B$40,0),MATCH($D46,'Impervious Surface Reduc'!$C$42:$E$42,0))</f>
        <v>50000</v>
      </c>
      <c r="Z46" s="230">
        <f ca="1">INDEX('Impervious Surface Reduc'!$C$33:$E$40,MATCH(Z$3,'Impervious Surface Reduc'!$B$33:$B$40,0),MATCH($D46,'Impervious Surface Reduc'!$C$42:$E$42,0))</f>
        <v>50000</v>
      </c>
      <c r="AA46" s="230">
        <f ca="1">INDEX('Impervious Surface Reduc'!$C$33:$E$40,MATCH(AA$3,'Impervious Surface Reduc'!$B$33:$B$40,0),MATCH($D46,'Impervious Surface Reduc'!$C$42:$E$42,0))</f>
        <v>50000</v>
      </c>
      <c r="AB46" s="230">
        <f ca="1">INDEX('Impervious Surface Reduc'!$C$33:$E$40,MATCH(AB$3,'Impervious Surface Reduc'!$B$33:$B$40,0),MATCH($D46,'Impervious Surface Reduc'!$C$42:$E$42,0))</f>
        <v>50000</v>
      </c>
      <c r="AC46" s="230">
        <f ca="1">INDEX('Impervious Surface Reduc'!$C$33:$E$40,MATCH(AC$3,'Impervious Surface Reduc'!$B$33:$B$40,0),MATCH($D46,'Impervious Surface Reduc'!$C$42:$E$42,0))</f>
        <v>50000</v>
      </c>
      <c r="AD46" s="230">
        <f ca="1">INDEX('Impervious Surface Reduc'!$C$33:$E$40,MATCH(AD$3,'Impervious Surface Reduc'!$B$33:$B$40,0),MATCH($D46,'Impervious Surface Reduc'!$C$42:$E$42,0))</f>
        <v>50000</v>
      </c>
      <c r="AE46" s="230">
        <f ca="1">INDEX('Impervious Surface Reduc'!$C$33:$E$40,MATCH(AE$3,'Impervious Surface Reduc'!$B$33:$B$40,0),MATCH($D46,'Impervious Surface Reduc'!$C$42:$E$42,0))</f>
        <v>50000</v>
      </c>
      <c r="AF46" s="230">
        <f ca="1">INDEX('Impervious Surface Reduc'!$C$33:$E$40,MATCH(AF$3,'Impervious Surface Reduc'!$B$33:$B$40,0),MATCH($D46,'Impervious Surface Reduc'!$C$42:$E$42,0))</f>
        <v>50000</v>
      </c>
      <c r="AG46" s="89" t="s">
        <v>286</v>
      </c>
      <c r="AH46" s="230">
        <f>INDEX('Impervious Surface Reduc'!$C$43:$E$50,MATCH(AH$3,'Impervious Surface Reduc'!$B$43:$B$50,0),MATCH($D46,'Impervious Surface Reduc'!$C$42:$E$42,0))</f>
        <v>3709.9901948135725</v>
      </c>
      <c r="AI46" s="230">
        <f>INDEX('Impervious Surface Reduc'!$C$43:$E$50,MATCH(AI$3,'Impervious Surface Reduc'!$B$43:$B$50,0),MATCH($D46,'Impervious Surface Reduc'!$C$42:$E$42,0))</f>
        <v>3709.9901948135725</v>
      </c>
      <c r="AJ46" s="230">
        <f>INDEX('Impervious Surface Reduc'!$C$43:$E$50,MATCH(AJ$3,'Impervious Surface Reduc'!$B$43:$B$50,0),MATCH($D46,'Impervious Surface Reduc'!$C$42:$E$42,0))</f>
        <v>3709.9901948135725</v>
      </c>
      <c r="AK46" s="230">
        <f>INDEX('Impervious Surface Reduc'!$C$43:$E$50,MATCH(AK$3,'Impervious Surface Reduc'!$B$43:$B$50,0),MATCH($D46,'Impervious Surface Reduc'!$C$42:$E$42,0))</f>
        <v>3709.9901948135725</v>
      </c>
      <c r="AL46" s="230">
        <f>INDEX('Impervious Surface Reduc'!$C$43:$E$50,MATCH(AL$3,'Impervious Surface Reduc'!$B$43:$B$50,0),MATCH($D46,'Impervious Surface Reduc'!$C$42:$E$42,0))</f>
        <v>3709.9901948135725</v>
      </c>
      <c r="AM46" s="230">
        <f>INDEX('Impervious Surface Reduc'!$C$43:$E$50,MATCH(AM$3,'Impervious Surface Reduc'!$B$43:$B$50,0),MATCH($D46,'Impervious Surface Reduc'!$C$42:$E$42,0))</f>
        <v>3709.9901948135725</v>
      </c>
      <c r="AN46" s="230">
        <f>INDEX('Impervious Surface Reduc'!$C$43:$E$50,MATCH(AN$3,'Impervious Surface Reduc'!$B$43:$B$50,0),MATCH($D46,'Impervious Surface Reduc'!$C$42:$E$42,0))</f>
        <v>3709.9901948135725</v>
      </c>
      <c r="AO46" s="230">
        <f>INDEX('Impervious Surface Reduc'!$C$43:$E$50,MATCH(AO$3,'Impervious Surface Reduc'!$B$43:$B$50,0),MATCH($D46,'Impervious Surface Reduc'!$C$42:$E$42,0))</f>
        <v>3709.9901948135725</v>
      </c>
      <c r="AP46" s="89" t="s">
        <v>251</v>
      </c>
      <c r="AQ46" s="343" t="s">
        <v>281</v>
      </c>
      <c r="AR46" s="325" t="s">
        <v>70</v>
      </c>
    </row>
    <row r="47" spans="1:44">
      <c r="A47" s="341"/>
      <c r="B47" s="316"/>
      <c r="C47" s="87" t="s">
        <v>280</v>
      </c>
      <c r="D47" s="171" t="s">
        <v>18</v>
      </c>
      <c r="E47" s="36" t="str">
        <f>CONCATENATE(B46," ",D47)</f>
        <v>Impervious Surface Reduction Median</v>
      </c>
      <c r="F47" s="88">
        <f ca="1">INDEX(INDIRECT($C47),MATCH(F$3,'Impervious Surface Reduc'!$B$13:$B$20,0),MATCH($D47,'Impervious Surface Reduc'!$C$12:$E$12,0))</f>
        <v>17155.34722723451</v>
      </c>
      <c r="G47" s="6">
        <f ca="1">INDEX(INDIRECT($C47),MATCH(G$3,'Impervious Surface Reduc'!$B$13:$B$20,0),MATCH($D47,'Impervious Surface Reduc'!$C$12:$E$12,0))</f>
        <v>17155.34722723451</v>
      </c>
      <c r="H47" s="6">
        <f ca="1">INDEX(INDIRECT($C47),MATCH(H$3,'Impervious Surface Reduc'!$B$13:$B$20,0),MATCH($D47,'Impervious Surface Reduc'!$C$12:$E$12,0))</f>
        <v>17155.34722723451</v>
      </c>
      <c r="I47" s="6">
        <f ca="1">INDEX(INDIRECT($C47),MATCH(I$3,'Impervious Surface Reduc'!$B$13:$B$20,0),MATCH($D47,'Impervious Surface Reduc'!$C$12:$E$12,0))</f>
        <v>17155.34722723451</v>
      </c>
      <c r="J47" s="6">
        <f ca="1">INDEX(INDIRECT($C47),MATCH(J$3,'Impervious Surface Reduc'!$B$13:$B$20,0),MATCH($D47,'Impervious Surface Reduc'!$C$12:$E$12,0))</f>
        <v>17155.34722723451</v>
      </c>
      <c r="K47" s="6">
        <f ca="1">INDEX(INDIRECT($C47),MATCH(K$3,'Impervious Surface Reduc'!$B$13:$B$20,0),MATCH($D47,'Impervious Surface Reduc'!$C$12:$E$12,0))</f>
        <v>17155.34722723451</v>
      </c>
      <c r="L47" s="6">
        <f ca="1">INDEX(INDIRECT($C47),MATCH(L$3,'Impervious Surface Reduc'!$B$13:$B$20,0),MATCH($D47,'Impervious Surface Reduc'!$C$12:$E$12,0))</f>
        <v>17155.34722723451</v>
      </c>
      <c r="M47" s="6">
        <f ca="1">INDEX(INDIRECT($C47),MATCH(M$3,'Impervious Surface Reduc'!$B$13:$B$20,0),MATCH($D47,'Impervious Surface Reduc'!$C$12:$E$12,0))</f>
        <v>17155.34722723451</v>
      </c>
      <c r="N47" s="9" t="s">
        <v>251</v>
      </c>
      <c r="O47" s="88">
        <f>INDEX('Impervious Surface Reduc'!$C$23:$E$30,MATCH(O$3,'Impervious Surface Reduc'!$B$23:$B$30,0),MATCH($D47,'Impervious Surface Reduc'!$C$22:$E$22,0))</f>
        <v>100994.17752548058</v>
      </c>
      <c r="P47" s="6">
        <f>INDEX('Impervious Surface Reduc'!$C$23:$E$30,MATCH(P$3,'Impervious Surface Reduc'!$B$23:$B$30,0),MATCH($D47,'Impervious Surface Reduc'!$C$22:$E$22,0))</f>
        <v>100994.17752548058</v>
      </c>
      <c r="Q47" s="6">
        <f>INDEX('Impervious Surface Reduc'!$C$23:$E$30,MATCH(Q$3,'Impervious Surface Reduc'!$B$23:$B$30,0),MATCH($D47,'Impervious Surface Reduc'!$C$22:$E$22,0))</f>
        <v>100994.17752548058</v>
      </c>
      <c r="R47" s="6">
        <f>INDEX('Impervious Surface Reduc'!$C$23:$E$30,MATCH(R$3,'Impervious Surface Reduc'!$B$23:$B$30,0),MATCH($D47,'Impervious Surface Reduc'!$C$22:$E$22,0))</f>
        <v>100994.17752548058</v>
      </c>
      <c r="S47" s="6">
        <f>INDEX('Impervious Surface Reduc'!$C$23:$E$30,MATCH(S$3,'Impervious Surface Reduc'!$B$23:$B$30,0),MATCH($D47,'Impervious Surface Reduc'!$C$22:$E$22,0))</f>
        <v>100994.17752548058</v>
      </c>
      <c r="T47" s="6">
        <f>INDEX('Impervious Surface Reduc'!$C$23:$E$30,MATCH(T$3,'Impervious Surface Reduc'!$B$23:$B$30,0),MATCH($D47,'Impervious Surface Reduc'!$C$22:$E$22,0))</f>
        <v>100994.17752548058</v>
      </c>
      <c r="U47" s="6">
        <f>INDEX('Impervious Surface Reduc'!$C$23:$E$30,MATCH(U$3,'Impervious Surface Reduc'!$B$23:$B$30,0),MATCH($D47,'Impervious Surface Reduc'!$C$22:$E$22,0))</f>
        <v>100994.17752548058</v>
      </c>
      <c r="V47" s="6">
        <f>INDEX('Impervious Surface Reduc'!$C$23:$E$30,MATCH(V$3,'Impervious Surface Reduc'!$B$23:$B$30,0),MATCH($D47,'Impervious Surface Reduc'!$C$22:$E$22,0))</f>
        <v>100994.17752548058</v>
      </c>
      <c r="W47" s="90">
        <f>W46</f>
        <v>20</v>
      </c>
      <c r="X47" s="89" t="s">
        <v>286</v>
      </c>
      <c r="Y47" s="230">
        <f ca="1">INDEX('Impervious Surface Reduc'!$C$33:$E$40,MATCH(Y$3,'Impervious Surface Reduc'!$B$33:$B$40,0),MATCH($D47,'Impervious Surface Reduc'!$C$42:$E$42,0))</f>
        <v>50000</v>
      </c>
      <c r="Z47" s="230">
        <f ca="1">INDEX('Impervious Surface Reduc'!$C$33:$E$40,MATCH(Z$3,'Impervious Surface Reduc'!$B$33:$B$40,0),MATCH($D47,'Impervious Surface Reduc'!$C$42:$E$42,0))</f>
        <v>50000</v>
      </c>
      <c r="AA47" s="230">
        <f ca="1">INDEX('Impervious Surface Reduc'!$C$33:$E$40,MATCH(AA$3,'Impervious Surface Reduc'!$B$33:$B$40,0),MATCH($D47,'Impervious Surface Reduc'!$C$42:$E$42,0))</f>
        <v>50000</v>
      </c>
      <c r="AB47" s="230">
        <f ca="1">INDEX('Impervious Surface Reduc'!$C$33:$E$40,MATCH(AB$3,'Impervious Surface Reduc'!$B$33:$B$40,0),MATCH($D47,'Impervious Surface Reduc'!$C$42:$E$42,0))</f>
        <v>50000</v>
      </c>
      <c r="AC47" s="230">
        <f ca="1">INDEX('Impervious Surface Reduc'!$C$33:$E$40,MATCH(AC$3,'Impervious Surface Reduc'!$B$33:$B$40,0),MATCH($D47,'Impervious Surface Reduc'!$C$42:$E$42,0))</f>
        <v>50000</v>
      </c>
      <c r="AD47" s="230">
        <f ca="1">INDEX('Impervious Surface Reduc'!$C$33:$E$40,MATCH(AD$3,'Impervious Surface Reduc'!$B$33:$B$40,0),MATCH($D47,'Impervious Surface Reduc'!$C$42:$E$42,0))</f>
        <v>50000</v>
      </c>
      <c r="AE47" s="230">
        <f ca="1">INDEX('Impervious Surface Reduc'!$C$33:$E$40,MATCH(AE$3,'Impervious Surface Reduc'!$B$33:$B$40,0),MATCH($D47,'Impervious Surface Reduc'!$C$42:$E$42,0))</f>
        <v>50000</v>
      </c>
      <c r="AF47" s="230">
        <f ca="1">INDEX('Impervious Surface Reduc'!$C$33:$E$40,MATCH(AF$3,'Impervious Surface Reduc'!$B$33:$B$40,0),MATCH($D47,'Impervious Surface Reduc'!$C$42:$E$42,0))</f>
        <v>50000</v>
      </c>
      <c r="AG47" s="89" t="s">
        <v>286</v>
      </c>
      <c r="AH47" s="230">
        <f>INDEX('Impervious Surface Reduc'!$C$43:$E$50,MATCH(AH$3,'Impervious Surface Reduc'!$B$43:$B$50,0),MATCH($D47,'Impervious Surface Reduc'!$C$42:$E$42,0))</f>
        <v>4122.2113275706361</v>
      </c>
      <c r="AI47" s="230">
        <f>INDEX('Impervious Surface Reduc'!$C$43:$E$50,MATCH(AI$3,'Impervious Surface Reduc'!$B$43:$B$50,0),MATCH($D47,'Impervious Surface Reduc'!$C$42:$E$42,0))</f>
        <v>4122.2113275706361</v>
      </c>
      <c r="AJ47" s="230">
        <f>INDEX('Impervious Surface Reduc'!$C$43:$E$50,MATCH(AJ$3,'Impervious Surface Reduc'!$B$43:$B$50,0),MATCH($D47,'Impervious Surface Reduc'!$C$42:$E$42,0))</f>
        <v>4122.2113275706361</v>
      </c>
      <c r="AK47" s="230">
        <f>INDEX('Impervious Surface Reduc'!$C$43:$E$50,MATCH(AK$3,'Impervious Surface Reduc'!$B$43:$B$50,0),MATCH($D47,'Impervious Surface Reduc'!$C$42:$E$42,0))</f>
        <v>4122.2113275706361</v>
      </c>
      <c r="AL47" s="230">
        <f>INDEX('Impervious Surface Reduc'!$C$43:$E$50,MATCH(AL$3,'Impervious Surface Reduc'!$B$43:$B$50,0),MATCH($D47,'Impervious Surface Reduc'!$C$42:$E$42,0))</f>
        <v>4122.2113275706361</v>
      </c>
      <c r="AM47" s="230">
        <f>INDEX('Impervious Surface Reduc'!$C$43:$E$50,MATCH(AM$3,'Impervious Surface Reduc'!$B$43:$B$50,0),MATCH($D47,'Impervious Surface Reduc'!$C$42:$E$42,0))</f>
        <v>4122.2113275706361</v>
      </c>
      <c r="AN47" s="230">
        <f>INDEX('Impervious Surface Reduc'!$C$43:$E$50,MATCH(AN$3,'Impervious Surface Reduc'!$B$43:$B$50,0),MATCH($D47,'Impervious Surface Reduc'!$C$42:$E$42,0))</f>
        <v>4122.2113275706361</v>
      </c>
      <c r="AO47" s="230">
        <f>INDEX('Impervious Surface Reduc'!$C$43:$E$50,MATCH(AO$3,'Impervious Surface Reduc'!$B$43:$B$50,0),MATCH($D47,'Impervious Surface Reduc'!$C$42:$E$42,0))</f>
        <v>4122.2113275706361</v>
      </c>
      <c r="AP47" s="89" t="s">
        <v>251</v>
      </c>
      <c r="AQ47" s="344"/>
      <c r="AR47" s="326"/>
    </row>
    <row r="48" spans="1:44">
      <c r="A48" s="342"/>
      <c r="B48" s="320"/>
      <c r="C48" s="87" t="s">
        <v>280</v>
      </c>
      <c r="D48" s="171" t="s">
        <v>208</v>
      </c>
      <c r="E48" s="36" t="str">
        <f>CONCATENATE(B46," ",D48)</f>
        <v>Impervious Surface Reduction High</v>
      </c>
      <c r="F48" s="88">
        <f ca="1">INDEX(INDIRECT($C48),MATCH(F$3,'Impervious Surface Reduc'!$B$13:$B$20,0),MATCH($D48,'Impervious Surface Reduc'!$C$12:$E$12,0))</f>
        <v>20018.94616276228</v>
      </c>
      <c r="G48" s="6">
        <f ca="1">INDEX(INDIRECT($C48),MATCH(G$3,'Impervious Surface Reduc'!$B$13:$B$20,0),MATCH($D48,'Impervious Surface Reduc'!$C$12:$E$12,0))</f>
        <v>20018.94616276228</v>
      </c>
      <c r="H48" s="6">
        <f ca="1">INDEX(INDIRECT($C48),MATCH(H$3,'Impervious Surface Reduc'!$B$13:$B$20,0),MATCH($D48,'Impervious Surface Reduc'!$C$12:$E$12,0))</f>
        <v>20018.94616276228</v>
      </c>
      <c r="I48" s="6">
        <f ca="1">INDEX(INDIRECT($C48),MATCH(I$3,'Impervious Surface Reduc'!$B$13:$B$20,0),MATCH($D48,'Impervious Surface Reduc'!$C$12:$E$12,0))</f>
        <v>20018.94616276228</v>
      </c>
      <c r="J48" s="6">
        <f ca="1">INDEX(INDIRECT($C48),MATCH(J$3,'Impervious Surface Reduc'!$B$13:$B$20,0),MATCH($D48,'Impervious Surface Reduc'!$C$12:$E$12,0))</f>
        <v>20018.94616276228</v>
      </c>
      <c r="K48" s="6">
        <f ca="1">INDEX(INDIRECT($C48),MATCH(K$3,'Impervious Surface Reduc'!$B$13:$B$20,0),MATCH($D48,'Impervious Surface Reduc'!$C$12:$E$12,0))</f>
        <v>20018.94616276228</v>
      </c>
      <c r="L48" s="6">
        <f ca="1">INDEX(INDIRECT($C48),MATCH(L$3,'Impervious Surface Reduc'!$B$13:$B$20,0),MATCH($D48,'Impervious Surface Reduc'!$C$12:$E$12,0))</f>
        <v>20018.94616276228</v>
      </c>
      <c r="M48" s="6">
        <f ca="1">INDEX(INDIRECT($C48),MATCH(M$3,'Impervious Surface Reduc'!$B$13:$B$20,0),MATCH($D48,'Impervious Surface Reduc'!$C$12:$E$12,0))</f>
        <v>20018.94616276228</v>
      </c>
      <c r="N48" s="9" t="s">
        <v>251</v>
      </c>
      <c r="O48" s="88">
        <f>INDEX('Impervious Surface Reduc'!$C$23:$E$30,MATCH(O$3,'Impervious Surface Reduc'!$B$23:$B$30,0),MATCH($D48,'Impervious Surface Reduc'!$C$22:$E$22,0))</f>
        <v>126964.10888917559</v>
      </c>
      <c r="P48" s="6">
        <f>INDEX('Impervious Surface Reduc'!$C$23:$E$30,MATCH(P$3,'Impervious Surface Reduc'!$B$23:$B$30,0),MATCH($D48,'Impervious Surface Reduc'!$C$22:$E$22,0))</f>
        <v>126964.10888917559</v>
      </c>
      <c r="Q48" s="6">
        <f>INDEX('Impervious Surface Reduc'!$C$23:$E$30,MATCH(Q$3,'Impervious Surface Reduc'!$B$23:$B$30,0),MATCH($D48,'Impervious Surface Reduc'!$C$22:$E$22,0))</f>
        <v>126964.10888917559</v>
      </c>
      <c r="R48" s="6">
        <f>INDEX('Impervious Surface Reduc'!$C$23:$E$30,MATCH(R$3,'Impervious Surface Reduc'!$B$23:$B$30,0),MATCH($D48,'Impervious Surface Reduc'!$C$22:$E$22,0))</f>
        <v>126964.10888917559</v>
      </c>
      <c r="S48" s="6">
        <f>INDEX('Impervious Surface Reduc'!$C$23:$E$30,MATCH(S$3,'Impervious Surface Reduc'!$B$23:$B$30,0),MATCH($D48,'Impervious Surface Reduc'!$C$22:$E$22,0))</f>
        <v>126964.10888917559</v>
      </c>
      <c r="T48" s="6">
        <f>INDEX('Impervious Surface Reduc'!$C$23:$E$30,MATCH(T$3,'Impervious Surface Reduc'!$B$23:$B$30,0),MATCH($D48,'Impervious Surface Reduc'!$C$22:$E$22,0))</f>
        <v>126964.10888917559</v>
      </c>
      <c r="U48" s="6">
        <f>INDEX('Impervious Surface Reduc'!$C$23:$E$30,MATCH(U$3,'Impervious Surface Reduc'!$B$23:$B$30,0),MATCH($D48,'Impervious Surface Reduc'!$C$22:$E$22,0))</f>
        <v>126964.10888917559</v>
      </c>
      <c r="V48" s="6">
        <f>INDEX('Impervious Surface Reduc'!$C$23:$E$30,MATCH(V$3,'Impervious Surface Reduc'!$B$23:$B$30,0),MATCH($D48,'Impervious Surface Reduc'!$C$22:$E$22,0))</f>
        <v>126964.10888917559</v>
      </c>
      <c r="W48" s="90">
        <f>W46</f>
        <v>20</v>
      </c>
      <c r="X48" s="89" t="s">
        <v>286</v>
      </c>
      <c r="Y48" s="230">
        <f ca="1">INDEX('Impervious Surface Reduc'!$C$33:$E$40,MATCH(Y$3,'Impervious Surface Reduc'!$B$33:$B$40,0),MATCH($D48,'Impervious Surface Reduc'!$C$42:$E$42,0))</f>
        <v>50000</v>
      </c>
      <c r="Z48" s="230">
        <f ca="1">INDEX('Impervious Surface Reduc'!$C$33:$E$40,MATCH(Z$3,'Impervious Surface Reduc'!$B$33:$B$40,0),MATCH($D48,'Impervious Surface Reduc'!$C$42:$E$42,0))</f>
        <v>50000</v>
      </c>
      <c r="AA48" s="230">
        <f ca="1">INDEX('Impervious Surface Reduc'!$C$33:$E$40,MATCH(AA$3,'Impervious Surface Reduc'!$B$33:$B$40,0),MATCH($D48,'Impervious Surface Reduc'!$C$42:$E$42,0))</f>
        <v>50000</v>
      </c>
      <c r="AB48" s="230">
        <f ca="1">INDEX('Impervious Surface Reduc'!$C$33:$E$40,MATCH(AB$3,'Impervious Surface Reduc'!$B$33:$B$40,0),MATCH($D48,'Impervious Surface Reduc'!$C$42:$E$42,0))</f>
        <v>50000</v>
      </c>
      <c r="AC48" s="230">
        <f ca="1">INDEX('Impervious Surface Reduc'!$C$33:$E$40,MATCH(AC$3,'Impervious Surface Reduc'!$B$33:$B$40,0),MATCH($D48,'Impervious Surface Reduc'!$C$42:$E$42,0))</f>
        <v>50000</v>
      </c>
      <c r="AD48" s="230">
        <f ca="1">INDEX('Impervious Surface Reduc'!$C$33:$E$40,MATCH(AD$3,'Impervious Surface Reduc'!$B$33:$B$40,0),MATCH($D48,'Impervious Surface Reduc'!$C$42:$E$42,0))</f>
        <v>50000</v>
      </c>
      <c r="AE48" s="230">
        <f ca="1">INDEX('Impervious Surface Reduc'!$C$33:$E$40,MATCH(AE$3,'Impervious Surface Reduc'!$B$33:$B$40,0),MATCH($D48,'Impervious Surface Reduc'!$C$42:$E$42,0))</f>
        <v>50000</v>
      </c>
      <c r="AF48" s="230">
        <f ca="1">INDEX('Impervious Surface Reduc'!$C$33:$E$40,MATCH(AF$3,'Impervious Surface Reduc'!$B$33:$B$40,0),MATCH($D48,'Impervious Surface Reduc'!$C$42:$E$42,0))</f>
        <v>50000</v>
      </c>
      <c r="AG48" s="89" t="s">
        <v>286</v>
      </c>
      <c r="AH48" s="230">
        <f>INDEX('Impervious Surface Reduc'!$C$43:$E$50,MATCH(AH$3,'Impervious Surface Reduc'!$B$43:$B$50,0),MATCH($D48,'Impervious Surface Reduc'!$C$42:$E$42,0))</f>
        <v>4534.4324603277</v>
      </c>
      <c r="AI48" s="230">
        <f>INDEX('Impervious Surface Reduc'!$C$43:$E$50,MATCH(AI$3,'Impervious Surface Reduc'!$B$43:$B$50,0),MATCH($D48,'Impervious Surface Reduc'!$C$42:$E$42,0))</f>
        <v>4534.4324603277</v>
      </c>
      <c r="AJ48" s="230">
        <f>INDEX('Impervious Surface Reduc'!$C$43:$E$50,MATCH(AJ$3,'Impervious Surface Reduc'!$B$43:$B$50,0),MATCH($D48,'Impervious Surface Reduc'!$C$42:$E$42,0))</f>
        <v>4534.4324603277</v>
      </c>
      <c r="AK48" s="230">
        <f>INDEX('Impervious Surface Reduc'!$C$43:$E$50,MATCH(AK$3,'Impervious Surface Reduc'!$B$43:$B$50,0),MATCH($D48,'Impervious Surface Reduc'!$C$42:$E$42,0))</f>
        <v>4534.4324603277</v>
      </c>
      <c r="AL48" s="230">
        <f>INDEX('Impervious Surface Reduc'!$C$43:$E$50,MATCH(AL$3,'Impervious Surface Reduc'!$B$43:$B$50,0),MATCH($D48,'Impervious Surface Reduc'!$C$42:$E$42,0))</f>
        <v>4534.4324603277</v>
      </c>
      <c r="AM48" s="230">
        <f>INDEX('Impervious Surface Reduc'!$C$43:$E$50,MATCH(AM$3,'Impervious Surface Reduc'!$B$43:$B$50,0),MATCH($D48,'Impervious Surface Reduc'!$C$42:$E$42,0))</f>
        <v>4534.4324603277</v>
      </c>
      <c r="AN48" s="230">
        <f>INDEX('Impervious Surface Reduc'!$C$43:$E$50,MATCH(AN$3,'Impervious Surface Reduc'!$B$43:$B$50,0),MATCH($D48,'Impervious Surface Reduc'!$C$42:$E$42,0))</f>
        <v>4534.4324603277</v>
      </c>
      <c r="AO48" s="230">
        <f>INDEX('Impervious Surface Reduc'!$C$43:$E$50,MATCH(AO$3,'Impervious Surface Reduc'!$B$43:$B$50,0),MATCH($D48,'Impervious Surface Reduc'!$C$42:$E$42,0))</f>
        <v>4534.4324603277</v>
      </c>
      <c r="AP48" s="89" t="s">
        <v>251</v>
      </c>
      <c r="AQ48" s="345"/>
      <c r="AR48" s="327"/>
    </row>
    <row r="49" spans="1:44">
      <c r="A49" s="340">
        <v>16</v>
      </c>
      <c r="B49" s="319" t="s">
        <v>15</v>
      </c>
      <c r="C49" s="87"/>
      <c r="D49" s="171" t="s">
        <v>207</v>
      </c>
      <c r="E49" s="36" t="str">
        <f>CONCATENATE(B49," ",D49)</f>
        <v>Forest Conservation Low</v>
      </c>
      <c r="F49" s="88">
        <v>0</v>
      </c>
      <c r="G49" s="6">
        <v>0</v>
      </c>
      <c r="H49" s="6">
        <v>0</v>
      </c>
      <c r="I49" s="6">
        <v>0</v>
      </c>
      <c r="J49" s="6">
        <v>0</v>
      </c>
      <c r="K49" s="6">
        <v>0</v>
      </c>
      <c r="L49" s="6">
        <v>0</v>
      </c>
      <c r="M49" s="6">
        <v>0</v>
      </c>
      <c r="N49" s="9" t="s">
        <v>251</v>
      </c>
      <c r="O49" s="88">
        <v>0</v>
      </c>
      <c r="P49" s="6">
        <v>0</v>
      </c>
      <c r="Q49" s="6">
        <v>0</v>
      </c>
      <c r="R49" s="6">
        <v>0</v>
      </c>
      <c r="S49" s="6">
        <v>0</v>
      </c>
      <c r="T49" s="6">
        <v>0</v>
      </c>
      <c r="U49" s="6">
        <v>0</v>
      </c>
      <c r="V49" s="6">
        <v>0</v>
      </c>
      <c r="W49" s="90">
        <v>1</v>
      </c>
      <c r="X49" s="89" t="s">
        <v>286</v>
      </c>
      <c r="Y49" s="88">
        <v>0</v>
      </c>
      <c r="Z49" s="6">
        <v>0</v>
      </c>
      <c r="AA49" s="6">
        <v>0</v>
      </c>
      <c r="AB49" s="6">
        <v>0</v>
      </c>
      <c r="AC49" s="6">
        <v>0</v>
      </c>
      <c r="AD49" s="6">
        <v>0</v>
      </c>
      <c r="AE49" s="6">
        <v>0</v>
      </c>
      <c r="AF49" s="6">
        <v>0</v>
      </c>
      <c r="AG49" s="89" t="s">
        <v>286</v>
      </c>
      <c r="AH49" s="88">
        <v>0</v>
      </c>
      <c r="AI49" s="6">
        <v>0</v>
      </c>
      <c r="AJ49" s="6">
        <v>0</v>
      </c>
      <c r="AK49" s="6">
        <v>0</v>
      </c>
      <c r="AL49" s="6">
        <v>0</v>
      </c>
      <c r="AM49" s="6">
        <v>0</v>
      </c>
      <c r="AN49" s="6">
        <v>0</v>
      </c>
      <c r="AO49" s="6">
        <v>0</v>
      </c>
      <c r="AP49" s="89" t="s">
        <v>251</v>
      </c>
      <c r="AQ49" s="343" t="s">
        <v>230</v>
      </c>
      <c r="AR49" s="325" t="s">
        <v>124</v>
      </c>
    </row>
    <row r="50" spans="1:44">
      <c r="A50" s="341"/>
      <c r="B50" s="316"/>
      <c r="C50" s="87"/>
      <c r="D50" s="171" t="s">
        <v>18</v>
      </c>
      <c r="E50" s="36" t="str">
        <f>CONCATENATE(B49," ",D50)</f>
        <v>Forest Conservation Median</v>
      </c>
      <c r="F50" s="88">
        <v>0</v>
      </c>
      <c r="G50" s="6">
        <v>0</v>
      </c>
      <c r="H50" s="6">
        <v>0</v>
      </c>
      <c r="I50" s="6">
        <v>0</v>
      </c>
      <c r="J50" s="6">
        <v>0</v>
      </c>
      <c r="K50" s="6">
        <v>0</v>
      </c>
      <c r="L50" s="6">
        <v>0</v>
      </c>
      <c r="M50" s="6">
        <v>0</v>
      </c>
      <c r="N50" s="9" t="s">
        <v>251</v>
      </c>
      <c r="O50" s="88">
        <f>O49</f>
        <v>0</v>
      </c>
      <c r="P50" s="6">
        <f>P49</f>
        <v>0</v>
      </c>
      <c r="Q50" s="6">
        <f t="shared" ref="Q50:V50" si="35">Q49</f>
        <v>0</v>
      </c>
      <c r="R50" s="6">
        <f t="shared" si="35"/>
        <v>0</v>
      </c>
      <c r="S50" s="6">
        <f t="shared" si="35"/>
        <v>0</v>
      </c>
      <c r="T50" s="6">
        <f t="shared" si="35"/>
        <v>0</v>
      </c>
      <c r="U50" s="6">
        <f t="shared" si="35"/>
        <v>0</v>
      </c>
      <c r="V50" s="6">
        <f t="shared" si="35"/>
        <v>0</v>
      </c>
      <c r="W50" s="90">
        <f>W49</f>
        <v>1</v>
      </c>
      <c r="X50" s="89" t="s">
        <v>286</v>
      </c>
      <c r="Y50" s="88">
        <f>Y49</f>
        <v>0</v>
      </c>
      <c r="Z50" s="6">
        <f>Z49</f>
        <v>0</v>
      </c>
      <c r="AA50" s="6">
        <f t="shared" ref="AA50" si="36">AA49</f>
        <v>0</v>
      </c>
      <c r="AB50" s="6">
        <f t="shared" ref="AB50" si="37">AB49</f>
        <v>0</v>
      </c>
      <c r="AC50" s="6">
        <f t="shared" ref="AC50" si="38">AC49</f>
        <v>0</v>
      </c>
      <c r="AD50" s="6">
        <f t="shared" ref="AD50" si="39">AD49</f>
        <v>0</v>
      </c>
      <c r="AE50" s="6">
        <f t="shared" ref="AE50" si="40">AE49</f>
        <v>0</v>
      </c>
      <c r="AF50" s="6">
        <f t="shared" ref="AF50" si="41">AF49</f>
        <v>0</v>
      </c>
      <c r="AG50" s="89" t="s">
        <v>286</v>
      </c>
      <c r="AH50" s="88">
        <f>AH49</f>
        <v>0</v>
      </c>
      <c r="AI50" s="6">
        <f>AI49</f>
        <v>0</v>
      </c>
      <c r="AJ50" s="6">
        <f t="shared" ref="AJ50" si="42">AJ49</f>
        <v>0</v>
      </c>
      <c r="AK50" s="6">
        <f t="shared" ref="AK50" si="43">AK49</f>
        <v>0</v>
      </c>
      <c r="AL50" s="6">
        <f t="shared" ref="AL50" si="44">AL49</f>
        <v>0</v>
      </c>
      <c r="AM50" s="6">
        <f t="shared" ref="AM50" si="45">AM49</f>
        <v>0</v>
      </c>
      <c r="AN50" s="6">
        <f t="shared" ref="AN50" si="46">AN49</f>
        <v>0</v>
      </c>
      <c r="AO50" s="6">
        <f t="shared" ref="AO50" si="47">AO49</f>
        <v>0</v>
      </c>
      <c r="AP50" s="89" t="s">
        <v>251</v>
      </c>
      <c r="AQ50" s="344"/>
      <c r="AR50" s="326"/>
    </row>
    <row r="51" spans="1:44">
      <c r="A51" s="342"/>
      <c r="B51" s="320"/>
      <c r="C51" s="87"/>
      <c r="D51" s="171" t="s">
        <v>208</v>
      </c>
      <c r="E51" s="36" t="str">
        <f>CONCATENATE(B49," ",D51)</f>
        <v>Forest Conservation High</v>
      </c>
      <c r="F51" s="88">
        <v>0</v>
      </c>
      <c r="G51" s="6">
        <v>0</v>
      </c>
      <c r="H51" s="6">
        <v>0</v>
      </c>
      <c r="I51" s="6">
        <v>0</v>
      </c>
      <c r="J51" s="6">
        <v>0</v>
      </c>
      <c r="K51" s="6">
        <v>0</v>
      </c>
      <c r="L51" s="6">
        <v>0</v>
      </c>
      <c r="M51" s="6">
        <v>0</v>
      </c>
      <c r="N51" s="9" t="s">
        <v>251</v>
      </c>
      <c r="O51" s="88">
        <f>O49</f>
        <v>0</v>
      </c>
      <c r="P51" s="6">
        <f>P49</f>
        <v>0</v>
      </c>
      <c r="Q51" s="6">
        <f t="shared" ref="Q51:V51" si="48">Q49</f>
        <v>0</v>
      </c>
      <c r="R51" s="6">
        <f t="shared" si="48"/>
        <v>0</v>
      </c>
      <c r="S51" s="6">
        <f t="shared" si="48"/>
        <v>0</v>
      </c>
      <c r="T51" s="6">
        <f t="shared" si="48"/>
        <v>0</v>
      </c>
      <c r="U51" s="6">
        <f t="shared" si="48"/>
        <v>0</v>
      </c>
      <c r="V51" s="6">
        <f t="shared" si="48"/>
        <v>0</v>
      </c>
      <c r="W51" s="90">
        <f>W49</f>
        <v>1</v>
      </c>
      <c r="X51" s="89" t="s">
        <v>286</v>
      </c>
      <c r="Y51" s="88">
        <f>Y49</f>
        <v>0</v>
      </c>
      <c r="Z51" s="6">
        <f>Z49</f>
        <v>0</v>
      </c>
      <c r="AA51" s="6">
        <f t="shared" ref="AA51:AF51" si="49">AA49</f>
        <v>0</v>
      </c>
      <c r="AB51" s="6">
        <f t="shared" si="49"/>
        <v>0</v>
      </c>
      <c r="AC51" s="6">
        <f t="shared" si="49"/>
        <v>0</v>
      </c>
      <c r="AD51" s="6">
        <f t="shared" si="49"/>
        <v>0</v>
      </c>
      <c r="AE51" s="6">
        <f t="shared" si="49"/>
        <v>0</v>
      </c>
      <c r="AF51" s="6">
        <f t="shared" si="49"/>
        <v>0</v>
      </c>
      <c r="AG51" s="89" t="s">
        <v>286</v>
      </c>
      <c r="AH51" s="88">
        <f>AH49</f>
        <v>0</v>
      </c>
      <c r="AI51" s="6">
        <f>AI49</f>
        <v>0</v>
      </c>
      <c r="AJ51" s="6">
        <f t="shared" ref="AJ51:AO51" si="50">AJ49</f>
        <v>0</v>
      </c>
      <c r="AK51" s="6">
        <f t="shared" si="50"/>
        <v>0</v>
      </c>
      <c r="AL51" s="6">
        <f t="shared" si="50"/>
        <v>0</v>
      </c>
      <c r="AM51" s="6">
        <f t="shared" si="50"/>
        <v>0</v>
      </c>
      <c r="AN51" s="6">
        <f t="shared" si="50"/>
        <v>0</v>
      </c>
      <c r="AO51" s="6">
        <f t="shared" si="50"/>
        <v>0</v>
      </c>
      <c r="AP51" s="89" t="s">
        <v>251</v>
      </c>
      <c r="AQ51" s="345"/>
      <c r="AR51" s="327"/>
    </row>
    <row r="52" spans="1:44">
      <c r="A52" s="340">
        <v>17</v>
      </c>
      <c r="B52" s="319" t="s">
        <v>113</v>
      </c>
      <c r="C52" s="87"/>
      <c r="D52" s="171" t="s">
        <v>207</v>
      </c>
      <c r="E52" s="36" t="str">
        <f>CONCATENATE(B52," ",D52)</f>
        <v>Retrofit Stormwater Management Low</v>
      </c>
      <c r="F52" s="88">
        <v>0</v>
      </c>
      <c r="G52" s="6">
        <v>0</v>
      </c>
      <c r="H52" s="6">
        <v>0</v>
      </c>
      <c r="I52" s="6">
        <f>RSWM_MD</f>
        <v>2863.5096532811945</v>
      </c>
      <c r="J52" s="6">
        <v>0</v>
      </c>
      <c r="K52" s="6">
        <v>0</v>
      </c>
      <c r="L52" s="6">
        <v>0</v>
      </c>
      <c r="M52" s="6">
        <v>0</v>
      </c>
      <c r="N52" s="9" t="s">
        <v>250</v>
      </c>
      <c r="O52" s="281">
        <v>0</v>
      </c>
      <c r="P52" s="6">
        <v>0</v>
      </c>
      <c r="Q52" s="6">
        <v>0</v>
      </c>
      <c r="R52" s="6">
        <f ca="1">RSWM_Cap_MD</f>
        <v>26632.074228705616</v>
      </c>
      <c r="S52" s="6">
        <v>0</v>
      </c>
      <c r="T52" s="6">
        <v>0</v>
      </c>
      <c r="U52" s="6">
        <v>0</v>
      </c>
      <c r="V52" s="6">
        <v>0</v>
      </c>
      <c r="W52" s="90">
        <f>'Retrofit SW Mgmt'!C15</f>
        <v>20</v>
      </c>
      <c r="X52" s="89" t="s">
        <v>285</v>
      </c>
      <c r="Y52" s="281">
        <v>0</v>
      </c>
      <c r="Z52" s="6">
        <v>0</v>
      </c>
      <c r="AA52" s="6">
        <v>0</v>
      </c>
      <c r="AB52" s="6">
        <f ca="1">RSWM_Land_MD</f>
        <v>844.79890336023652</v>
      </c>
      <c r="AC52" s="6">
        <v>0</v>
      </c>
      <c r="AD52" s="6">
        <v>0</v>
      </c>
      <c r="AE52" s="6">
        <v>0</v>
      </c>
      <c r="AF52" s="6">
        <v>0</v>
      </c>
      <c r="AG52" s="89" t="s">
        <v>285</v>
      </c>
      <c r="AH52" s="281">
        <v>0</v>
      </c>
      <c r="AI52" s="6">
        <v>0</v>
      </c>
      <c r="AJ52" s="6">
        <v>0</v>
      </c>
      <c r="AK52" s="6">
        <f ca="1">RSWM_OM_MD</f>
        <v>290.49432498689453</v>
      </c>
      <c r="AL52" s="6">
        <v>0</v>
      </c>
      <c r="AM52" s="6">
        <v>0</v>
      </c>
      <c r="AN52" s="6">
        <v>0</v>
      </c>
      <c r="AO52" s="6">
        <v>0</v>
      </c>
      <c r="AP52" s="89" t="s">
        <v>250</v>
      </c>
      <c r="AQ52" s="343" t="s">
        <v>229</v>
      </c>
      <c r="AR52" s="325"/>
    </row>
    <row r="53" spans="1:44">
      <c r="A53" s="341"/>
      <c r="B53" s="316"/>
      <c r="C53" s="87"/>
      <c r="D53" s="171" t="s">
        <v>18</v>
      </c>
      <c r="E53" s="36" t="str">
        <f>CONCATENATE(B52," ",D53)</f>
        <v>Retrofit Stormwater Management Median</v>
      </c>
      <c r="F53" s="88">
        <v>0</v>
      </c>
      <c r="G53" s="6">
        <v>0</v>
      </c>
      <c r="H53" s="6">
        <v>0</v>
      </c>
      <c r="I53" s="6">
        <f>RSWM_MD</f>
        <v>2863.5096532811945</v>
      </c>
      <c r="J53" s="6">
        <v>0</v>
      </c>
      <c r="K53" s="6">
        <v>0</v>
      </c>
      <c r="L53" s="6">
        <v>0</v>
      </c>
      <c r="M53" s="6">
        <v>0</v>
      </c>
      <c r="N53" s="9" t="s">
        <v>250</v>
      </c>
      <c r="O53" s="281">
        <f t="shared" ref="O53:W53" si="51">O52</f>
        <v>0</v>
      </c>
      <c r="P53" s="6">
        <f t="shared" si="51"/>
        <v>0</v>
      </c>
      <c r="Q53" s="6">
        <f t="shared" si="51"/>
        <v>0</v>
      </c>
      <c r="R53" s="6">
        <f t="shared" ca="1" si="51"/>
        <v>26632.074228705616</v>
      </c>
      <c r="S53" s="6">
        <f t="shared" si="51"/>
        <v>0</v>
      </c>
      <c r="T53" s="6">
        <f t="shared" si="51"/>
        <v>0</v>
      </c>
      <c r="U53" s="6">
        <f t="shared" si="51"/>
        <v>0</v>
      </c>
      <c r="V53" s="6">
        <f t="shared" si="51"/>
        <v>0</v>
      </c>
      <c r="W53" s="90">
        <f t="shared" si="51"/>
        <v>20</v>
      </c>
      <c r="X53" s="89" t="s">
        <v>285</v>
      </c>
      <c r="Y53" s="281">
        <f t="shared" ref="Y53:AF53" si="52">Y52</f>
        <v>0</v>
      </c>
      <c r="Z53" s="6">
        <f t="shared" si="52"/>
        <v>0</v>
      </c>
      <c r="AA53" s="6">
        <f t="shared" si="52"/>
        <v>0</v>
      </c>
      <c r="AB53" s="6">
        <f t="shared" ca="1" si="52"/>
        <v>844.79890336023652</v>
      </c>
      <c r="AC53" s="6">
        <f t="shared" si="52"/>
        <v>0</v>
      </c>
      <c r="AD53" s="6">
        <f t="shared" si="52"/>
        <v>0</v>
      </c>
      <c r="AE53" s="6">
        <f t="shared" si="52"/>
        <v>0</v>
      </c>
      <c r="AF53" s="6">
        <f t="shared" si="52"/>
        <v>0</v>
      </c>
      <c r="AG53" s="89" t="s">
        <v>285</v>
      </c>
      <c r="AH53" s="281">
        <f t="shared" ref="AH53:AO53" si="53">AH52</f>
        <v>0</v>
      </c>
      <c r="AI53" s="6">
        <f t="shared" si="53"/>
        <v>0</v>
      </c>
      <c r="AJ53" s="6">
        <f t="shared" si="53"/>
        <v>0</v>
      </c>
      <c r="AK53" s="6">
        <f t="shared" ca="1" si="53"/>
        <v>290.49432498689453</v>
      </c>
      <c r="AL53" s="6">
        <f t="shared" si="53"/>
        <v>0</v>
      </c>
      <c r="AM53" s="6">
        <f t="shared" si="53"/>
        <v>0</v>
      </c>
      <c r="AN53" s="6">
        <f t="shared" si="53"/>
        <v>0</v>
      </c>
      <c r="AO53" s="6">
        <f t="shared" si="53"/>
        <v>0</v>
      </c>
      <c r="AP53" s="89" t="s">
        <v>250</v>
      </c>
      <c r="AQ53" s="344"/>
      <c r="AR53" s="326"/>
    </row>
    <row r="54" spans="1:44">
      <c r="A54" s="342"/>
      <c r="B54" s="320"/>
      <c r="C54" s="87"/>
      <c r="D54" s="171" t="s">
        <v>208</v>
      </c>
      <c r="E54" s="36" t="str">
        <f>CONCATENATE(B52," ",D54)</f>
        <v>Retrofit Stormwater Management High</v>
      </c>
      <c r="F54" s="88">
        <v>0</v>
      </c>
      <c r="G54" s="6">
        <v>0</v>
      </c>
      <c r="H54" s="6">
        <v>0</v>
      </c>
      <c r="I54" s="6">
        <f>RSWM_MD</f>
        <v>2863.5096532811945</v>
      </c>
      <c r="J54" s="6">
        <v>0</v>
      </c>
      <c r="K54" s="6">
        <v>0</v>
      </c>
      <c r="L54" s="6">
        <v>0</v>
      </c>
      <c r="M54" s="6">
        <v>0</v>
      </c>
      <c r="N54" s="9" t="s">
        <v>250</v>
      </c>
      <c r="O54" s="281">
        <f t="shared" ref="O54:W54" si="54">O52</f>
        <v>0</v>
      </c>
      <c r="P54" s="6">
        <f t="shared" si="54"/>
        <v>0</v>
      </c>
      <c r="Q54" s="6">
        <f t="shared" si="54"/>
        <v>0</v>
      </c>
      <c r="R54" s="6">
        <f t="shared" ca="1" si="54"/>
        <v>26632.074228705616</v>
      </c>
      <c r="S54" s="6">
        <f t="shared" si="54"/>
        <v>0</v>
      </c>
      <c r="T54" s="6">
        <f t="shared" si="54"/>
        <v>0</v>
      </c>
      <c r="U54" s="6">
        <f t="shared" si="54"/>
        <v>0</v>
      </c>
      <c r="V54" s="6">
        <f t="shared" si="54"/>
        <v>0</v>
      </c>
      <c r="W54" s="90">
        <f t="shared" si="54"/>
        <v>20</v>
      </c>
      <c r="X54" s="89" t="s">
        <v>285</v>
      </c>
      <c r="Y54" s="281">
        <f t="shared" ref="Y54:AF54" si="55">Y52</f>
        <v>0</v>
      </c>
      <c r="Z54" s="6">
        <f t="shared" si="55"/>
        <v>0</v>
      </c>
      <c r="AA54" s="6">
        <f t="shared" si="55"/>
        <v>0</v>
      </c>
      <c r="AB54" s="6">
        <f t="shared" ca="1" si="55"/>
        <v>844.79890336023652</v>
      </c>
      <c r="AC54" s="6">
        <f t="shared" si="55"/>
        <v>0</v>
      </c>
      <c r="AD54" s="6">
        <f t="shared" si="55"/>
        <v>0</v>
      </c>
      <c r="AE54" s="6">
        <f t="shared" si="55"/>
        <v>0</v>
      </c>
      <c r="AF54" s="6">
        <f t="shared" si="55"/>
        <v>0</v>
      </c>
      <c r="AG54" s="89" t="s">
        <v>285</v>
      </c>
      <c r="AH54" s="281">
        <f t="shared" ref="AH54:AO54" si="56">AH52</f>
        <v>0</v>
      </c>
      <c r="AI54" s="6">
        <f t="shared" si="56"/>
        <v>0</v>
      </c>
      <c r="AJ54" s="6">
        <f t="shared" si="56"/>
        <v>0</v>
      </c>
      <c r="AK54" s="6">
        <f t="shared" ca="1" si="56"/>
        <v>290.49432498689453</v>
      </c>
      <c r="AL54" s="6">
        <f t="shared" si="56"/>
        <v>0</v>
      </c>
      <c r="AM54" s="6">
        <f t="shared" si="56"/>
        <v>0</v>
      </c>
      <c r="AN54" s="6">
        <f t="shared" si="56"/>
        <v>0</v>
      </c>
      <c r="AO54" s="6">
        <f t="shared" si="56"/>
        <v>0</v>
      </c>
      <c r="AP54" s="89" t="s">
        <v>250</v>
      </c>
      <c r="AQ54" s="345"/>
      <c r="AR54" s="327"/>
    </row>
    <row r="55" spans="1:44">
      <c r="A55" s="340">
        <v>18</v>
      </c>
      <c r="B55" s="319" t="s">
        <v>128</v>
      </c>
      <c r="C55" s="87"/>
      <c r="D55" s="171" t="s">
        <v>207</v>
      </c>
      <c r="E55" s="36" t="str">
        <f>CONCATENATE(B55," ",D55)</f>
        <v>Bare Construction to Unregulated Pervious Urban Land Low</v>
      </c>
      <c r="F55" s="88" t="s">
        <v>118</v>
      </c>
      <c r="G55" s="6" t="s">
        <v>118</v>
      </c>
      <c r="H55" s="6" t="s">
        <v>118</v>
      </c>
      <c r="I55" s="6" t="s">
        <v>118</v>
      </c>
      <c r="J55" s="6" t="s">
        <v>118</v>
      </c>
      <c r="K55" s="6" t="s">
        <v>118</v>
      </c>
      <c r="L55" s="6" t="s">
        <v>118</v>
      </c>
      <c r="M55" s="6">
        <v>0</v>
      </c>
      <c r="N55" s="9" t="s">
        <v>251</v>
      </c>
      <c r="O55" s="88" t="s">
        <v>118</v>
      </c>
      <c r="P55" s="6" t="s">
        <v>118</v>
      </c>
      <c r="Q55" s="6" t="s">
        <v>118</v>
      </c>
      <c r="R55" s="6" t="s">
        <v>118</v>
      </c>
      <c r="S55" s="6" t="s">
        <v>118</v>
      </c>
      <c r="T55" s="6" t="s">
        <v>118</v>
      </c>
      <c r="U55" s="6" t="s">
        <v>118</v>
      </c>
      <c r="V55" s="6">
        <v>0</v>
      </c>
      <c r="W55" s="90">
        <v>1</v>
      </c>
      <c r="X55" s="89" t="s">
        <v>286</v>
      </c>
      <c r="Y55" s="88" t="s">
        <v>118</v>
      </c>
      <c r="Z55" s="6" t="s">
        <v>118</v>
      </c>
      <c r="AA55" s="6" t="s">
        <v>118</v>
      </c>
      <c r="AB55" s="6" t="s">
        <v>118</v>
      </c>
      <c r="AC55" s="6" t="s">
        <v>118</v>
      </c>
      <c r="AD55" s="6" t="s">
        <v>118</v>
      </c>
      <c r="AE55" s="6" t="s">
        <v>118</v>
      </c>
      <c r="AF55" s="6">
        <v>0</v>
      </c>
      <c r="AG55" s="89" t="s">
        <v>286</v>
      </c>
      <c r="AH55" s="88" t="s">
        <v>118</v>
      </c>
      <c r="AI55" s="6" t="s">
        <v>118</v>
      </c>
      <c r="AJ55" s="6" t="s">
        <v>118</v>
      </c>
      <c r="AK55" s="6" t="s">
        <v>118</v>
      </c>
      <c r="AL55" s="6" t="s">
        <v>118</v>
      </c>
      <c r="AM55" s="6" t="s">
        <v>118</v>
      </c>
      <c r="AN55" s="6" t="s">
        <v>118</v>
      </c>
      <c r="AO55" s="6">
        <v>0</v>
      </c>
      <c r="AP55" s="89" t="s">
        <v>251</v>
      </c>
      <c r="AQ55" s="343" t="s">
        <v>230</v>
      </c>
      <c r="AR55" s="325"/>
    </row>
    <row r="56" spans="1:44">
      <c r="A56" s="341"/>
      <c r="B56" s="316"/>
      <c r="C56" s="87"/>
      <c r="D56" s="171" t="s">
        <v>18</v>
      </c>
      <c r="E56" s="36" t="str">
        <f>CONCATENATE(B55," ",D56)</f>
        <v>Bare Construction to Unregulated Pervious Urban Land Median</v>
      </c>
      <c r="F56" s="88" t="s">
        <v>118</v>
      </c>
      <c r="G56" s="6" t="s">
        <v>118</v>
      </c>
      <c r="H56" s="6" t="s">
        <v>118</v>
      </c>
      <c r="I56" s="6" t="s">
        <v>118</v>
      </c>
      <c r="J56" s="6" t="s">
        <v>118</v>
      </c>
      <c r="K56" s="6" t="s">
        <v>118</v>
      </c>
      <c r="L56" s="6" t="s">
        <v>118</v>
      </c>
      <c r="M56" s="6">
        <v>0</v>
      </c>
      <c r="N56" s="9" t="s">
        <v>251</v>
      </c>
      <c r="O56" s="88" t="s">
        <v>118</v>
      </c>
      <c r="P56" s="6" t="s">
        <v>118</v>
      </c>
      <c r="Q56" s="6" t="s">
        <v>118</v>
      </c>
      <c r="R56" s="6" t="s">
        <v>118</v>
      </c>
      <c r="S56" s="6" t="s">
        <v>118</v>
      </c>
      <c r="T56" s="6" t="s">
        <v>118</v>
      </c>
      <c r="U56" s="6" t="s">
        <v>118</v>
      </c>
      <c r="V56" s="6">
        <v>0</v>
      </c>
      <c r="W56" s="90">
        <v>1</v>
      </c>
      <c r="X56" s="89" t="s">
        <v>286</v>
      </c>
      <c r="Y56" s="88" t="s">
        <v>118</v>
      </c>
      <c r="Z56" s="6" t="s">
        <v>118</v>
      </c>
      <c r="AA56" s="6" t="s">
        <v>118</v>
      </c>
      <c r="AB56" s="6" t="s">
        <v>118</v>
      </c>
      <c r="AC56" s="6" t="s">
        <v>118</v>
      </c>
      <c r="AD56" s="6" t="s">
        <v>118</v>
      </c>
      <c r="AE56" s="6" t="s">
        <v>118</v>
      </c>
      <c r="AF56" s="6">
        <v>0</v>
      </c>
      <c r="AG56" s="89" t="s">
        <v>286</v>
      </c>
      <c r="AH56" s="88" t="s">
        <v>118</v>
      </c>
      <c r="AI56" s="6" t="s">
        <v>118</v>
      </c>
      <c r="AJ56" s="6" t="s">
        <v>118</v>
      </c>
      <c r="AK56" s="6" t="s">
        <v>118</v>
      </c>
      <c r="AL56" s="6" t="s">
        <v>118</v>
      </c>
      <c r="AM56" s="6" t="s">
        <v>118</v>
      </c>
      <c r="AN56" s="6" t="s">
        <v>118</v>
      </c>
      <c r="AO56" s="6">
        <v>0</v>
      </c>
      <c r="AP56" s="89" t="s">
        <v>251</v>
      </c>
      <c r="AQ56" s="344"/>
      <c r="AR56" s="326"/>
    </row>
    <row r="57" spans="1:44">
      <c r="A57" s="342"/>
      <c r="B57" s="320"/>
      <c r="C57" s="87"/>
      <c r="D57" s="171" t="s">
        <v>208</v>
      </c>
      <c r="E57" s="36" t="str">
        <f>CONCATENATE(B55," ",D57)</f>
        <v>Bare Construction to Unregulated Pervious Urban Land High</v>
      </c>
      <c r="F57" s="88" t="s">
        <v>118</v>
      </c>
      <c r="G57" s="6" t="s">
        <v>118</v>
      </c>
      <c r="H57" s="6" t="s">
        <v>118</v>
      </c>
      <c r="I57" s="6" t="s">
        <v>118</v>
      </c>
      <c r="J57" s="6" t="s">
        <v>118</v>
      </c>
      <c r="K57" s="6" t="s">
        <v>118</v>
      </c>
      <c r="L57" s="6" t="s">
        <v>118</v>
      </c>
      <c r="M57" s="6">
        <v>0</v>
      </c>
      <c r="N57" s="9" t="s">
        <v>251</v>
      </c>
      <c r="O57" s="88" t="s">
        <v>118</v>
      </c>
      <c r="P57" s="6" t="s">
        <v>118</v>
      </c>
      <c r="Q57" s="6" t="s">
        <v>118</v>
      </c>
      <c r="R57" s="6" t="s">
        <v>118</v>
      </c>
      <c r="S57" s="6" t="s">
        <v>118</v>
      </c>
      <c r="T57" s="6" t="s">
        <v>118</v>
      </c>
      <c r="U57" s="6" t="s">
        <v>118</v>
      </c>
      <c r="V57" s="6">
        <v>0</v>
      </c>
      <c r="W57" s="90">
        <v>1</v>
      </c>
      <c r="X57" s="89" t="s">
        <v>286</v>
      </c>
      <c r="Y57" s="88" t="s">
        <v>118</v>
      </c>
      <c r="Z57" s="6" t="s">
        <v>118</v>
      </c>
      <c r="AA57" s="6" t="s">
        <v>118</v>
      </c>
      <c r="AB57" s="6" t="s">
        <v>118</v>
      </c>
      <c r="AC57" s="6" t="s">
        <v>118</v>
      </c>
      <c r="AD57" s="6" t="s">
        <v>118</v>
      </c>
      <c r="AE57" s="6" t="s">
        <v>118</v>
      </c>
      <c r="AF57" s="6">
        <v>0</v>
      </c>
      <c r="AG57" s="89" t="s">
        <v>286</v>
      </c>
      <c r="AH57" s="88" t="s">
        <v>118</v>
      </c>
      <c r="AI57" s="6" t="s">
        <v>118</v>
      </c>
      <c r="AJ57" s="6" t="s">
        <v>118</v>
      </c>
      <c r="AK57" s="6" t="s">
        <v>118</v>
      </c>
      <c r="AL57" s="6" t="s">
        <v>118</v>
      </c>
      <c r="AM57" s="6" t="s">
        <v>118</v>
      </c>
      <c r="AN57" s="6" t="s">
        <v>118</v>
      </c>
      <c r="AO57" s="6">
        <v>0</v>
      </c>
      <c r="AP57" s="89" t="s">
        <v>251</v>
      </c>
      <c r="AQ57" s="345"/>
      <c r="AR57" s="327"/>
    </row>
    <row r="58" spans="1:44">
      <c r="A58" s="313">
        <v>21</v>
      </c>
      <c r="B58" s="321" t="s">
        <v>146</v>
      </c>
      <c r="C58" s="94"/>
      <c r="D58" s="171" t="s">
        <v>207</v>
      </c>
      <c r="E58" s="36" t="str">
        <f>CONCATENATE(B58," ",D58)</f>
        <v>Vegetated Open Channels Low</v>
      </c>
      <c r="F58" s="88">
        <f>VOC_Watershed</f>
        <v>778.1226377847405</v>
      </c>
      <c r="G58" s="6">
        <f>VOC_DC</f>
        <v>1541.3835584095261</v>
      </c>
      <c r="H58" s="6">
        <f>VOC_DE</f>
        <v>731.12547715176254</v>
      </c>
      <c r="I58" s="6">
        <f>VOC_MD</f>
        <v>761.69524564661242</v>
      </c>
      <c r="J58" s="6">
        <f>VOC_NY</f>
        <v>812.02819257217584</v>
      </c>
      <c r="K58" s="6">
        <f>VOC_PA</f>
        <v>762.94156881970071</v>
      </c>
      <c r="L58" s="6">
        <f>VOC_VA</f>
        <v>786.58796156137851</v>
      </c>
      <c r="M58" s="6">
        <f>VOC_WV</f>
        <v>759.7645084980627</v>
      </c>
      <c r="N58" s="9" t="s">
        <v>423</v>
      </c>
      <c r="O58" s="311">
        <f>VLOOKUP(O$3,'Vegetated Channel'!$A$15:$B$22,2,FALSE)</f>
        <v>778.1226377847405</v>
      </c>
      <c r="P58" s="92">
        <f>VLOOKUP(P$3,'Vegetated Channel'!$A$15:$B$22,2,FALSE)</f>
        <v>1541.3835584095261</v>
      </c>
      <c r="Q58" s="92">
        <f>VLOOKUP(Q$3,'Vegetated Channel'!$A$15:$B$22,2,FALSE)</f>
        <v>731.12547715176254</v>
      </c>
      <c r="R58" s="92">
        <f>VLOOKUP(R$3,'Vegetated Channel'!$A$15:$B$22,2,FALSE)</f>
        <v>761.69524564661242</v>
      </c>
      <c r="S58" s="92">
        <f>VLOOKUP(S$3,'Vegetated Channel'!$A$15:$B$22,2,FALSE)</f>
        <v>812.02819257217584</v>
      </c>
      <c r="T58" s="92">
        <f>VLOOKUP(T$3,'Vegetated Channel'!$A$15:$B$22,2,FALSE)</f>
        <v>762.94156881970071</v>
      </c>
      <c r="U58" s="92">
        <f>VLOOKUP(U$3,'Vegetated Channel'!$A$15:$B$22,2,FALSE)</f>
        <v>786.58796156137851</v>
      </c>
      <c r="V58" s="92">
        <f>VLOOKUP(V$3,'Vegetated Channel'!$A$15:$B$22,2,FALSE)</f>
        <v>759.7645084980627</v>
      </c>
      <c r="W58" s="90">
        <f>'Vegetated Channel'!B12</f>
        <v>20</v>
      </c>
      <c r="X58" s="89" t="s">
        <v>285</v>
      </c>
      <c r="Y58" s="311">
        <f ca="1">VLOOKUP(Y$3,'Vegetated Channel'!$A$25:$B$32,2,FALSE)</f>
        <v>6213.7337929166806</v>
      </c>
      <c r="Z58" s="92">
        <f ca="1">VLOOKUP(Z$3,'Vegetated Channel'!$A$25:$B$32,2,FALSE)</f>
        <v>12308.788666016191</v>
      </c>
      <c r="AA58" s="92">
        <f ca="1">VLOOKUP(AA$3,'Vegetated Channel'!$A$25:$B$32,2,FALSE)</f>
        <v>5838.4358244272262</v>
      </c>
      <c r="AB58" s="92">
        <f ca="1">VLOOKUP(AB$3,'Vegetated Channel'!$A$25:$B$32,2,FALSE)</f>
        <v>6082.5521041937036</v>
      </c>
      <c r="AC58" s="92">
        <f ca="1">VLOOKUP(AC$3,'Vegetated Channel'!$A$25:$B$32,2,FALSE)</f>
        <v>6484.4881461765553</v>
      </c>
      <c r="AD58" s="92">
        <f ca="1">VLOOKUP(AD$3,'Vegetated Channel'!$A$25:$B$32,2,FALSE)</f>
        <v>6092.5046747031047</v>
      </c>
      <c r="AE58" s="92">
        <f ca="1">VLOOKUP(AE$3,'Vegetated Channel'!$A$25:$B$32,2,FALSE)</f>
        <v>6281.334021806857</v>
      </c>
      <c r="AF58" s="92">
        <f ca="1">VLOOKUP(AF$3,'Vegetated Channel'!$A$25:$B$32,2,FALSE)</f>
        <v>6067.1341146858558</v>
      </c>
      <c r="AG58" s="89" t="s">
        <v>285</v>
      </c>
      <c r="AH58" s="311">
        <f ca="1">VLOOKUP(AH$3,'Vegetated Channel'!$A$35:$B$42,2,FALSE)</f>
        <v>517.81114940972338</v>
      </c>
      <c r="AI58" s="92">
        <f ca="1">VLOOKUP(AI$3,'Vegetated Channel'!$A$35:$B$42,2,FALSE)</f>
        <v>1025.7323888346825</v>
      </c>
      <c r="AJ58" s="92">
        <f ca="1">VLOOKUP(AJ$3,'Vegetated Channel'!$A$35:$B$42,2,FALSE)</f>
        <v>486.53631870226889</v>
      </c>
      <c r="AK58" s="92">
        <f ca="1">VLOOKUP(AK$3,'Vegetated Channel'!$A$35:$B$42,2,FALSE)</f>
        <v>506.87934201614195</v>
      </c>
      <c r="AL58" s="92">
        <f ca="1">VLOOKUP(AL$3,'Vegetated Channel'!$A$35:$B$42,2,FALSE)</f>
        <v>540.37401218137961</v>
      </c>
      <c r="AM58" s="92">
        <f ca="1">VLOOKUP(AM$3,'Vegetated Channel'!$A$35:$B$42,2,FALSE)</f>
        <v>507.70872289192539</v>
      </c>
      <c r="AN58" s="92">
        <f ca="1">VLOOKUP(AN$3,'Vegetated Channel'!$A$35:$B$42,2,FALSE)</f>
        <v>523.44450181723812</v>
      </c>
      <c r="AO58" s="92">
        <f ca="1">VLOOKUP(AO$3,'Vegetated Channel'!$A$35:$B$42,2,FALSE)</f>
        <v>505.59450955715471</v>
      </c>
      <c r="AP58" s="89" t="s">
        <v>250</v>
      </c>
      <c r="AQ58" s="93"/>
    </row>
    <row r="59" spans="1:44">
      <c r="A59" s="314"/>
      <c r="B59" s="322"/>
      <c r="C59" s="94"/>
      <c r="D59" s="171" t="s">
        <v>18</v>
      </c>
      <c r="E59" s="36" t="str">
        <f>CONCATENATE(B58," ",D59)</f>
        <v>Vegetated Open Channels Median</v>
      </c>
      <c r="F59" s="88">
        <f>VOC_Watershed</f>
        <v>778.1226377847405</v>
      </c>
      <c r="G59" s="6">
        <f>VOC_DC</f>
        <v>1541.3835584095261</v>
      </c>
      <c r="H59" s="6">
        <f>VOC_DE</f>
        <v>731.12547715176254</v>
      </c>
      <c r="I59" s="6">
        <f>VOC_MD</f>
        <v>761.69524564661242</v>
      </c>
      <c r="J59" s="6">
        <f>VOC_NY</f>
        <v>812.02819257217584</v>
      </c>
      <c r="K59" s="6">
        <f>VOC_PA</f>
        <v>762.94156881970071</v>
      </c>
      <c r="L59" s="6">
        <f>VOC_VA</f>
        <v>786.58796156137851</v>
      </c>
      <c r="M59" s="6">
        <f>VOC_WV</f>
        <v>759.7645084980627</v>
      </c>
      <c r="N59" s="9" t="s">
        <v>423</v>
      </c>
      <c r="O59" s="311">
        <f>VLOOKUP(O$3,'Vegetated Channel'!$A$15:$B$22,2,FALSE)</f>
        <v>778.1226377847405</v>
      </c>
      <c r="P59" s="92">
        <f>VLOOKUP(P$3,'Vegetated Channel'!$A$15:$B$22,2,FALSE)</f>
        <v>1541.3835584095261</v>
      </c>
      <c r="Q59" s="92">
        <f>VLOOKUP(Q$3,'Vegetated Channel'!$A$15:$B$22,2,FALSE)</f>
        <v>731.12547715176254</v>
      </c>
      <c r="R59" s="92">
        <f>VLOOKUP(R$3,'Vegetated Channel'!$A$15:$B$22,2,FALSE)</f>
        <v>761.69524564661242</v>
      </c>
      <c r="S59" s="92">
        <f>VLOOKUP(S$3,'Vegetated Channel'!$A$15:$B$22,2,FALSE)</f>
        <v>812.02819257217584</v>
      </c>
      <c r="T59" s="92">
        <f>VLOOKUP(T$3,'Vegetated Channel'!$A$15:$B$22,2,FALSE)</f>
        <v>762.94156881970071</v>
      </c>
      <c r="U59" s="92">
        <f>VLOOKUP(U$3,'Vegetated Channel'!$A$15:$B$22,2,FALSE)</f>
        <v>786.58796156137851</v>
      </c>
      <c r="V59" s="92">
        <f>VLOOKUP(V$3,'Vegetated Channel'!$A$15:$B$22,2,FALSE)</f>
        <v>759.7645084980627</v>
      </c>
      <c r="W59" s="90">
        <f>W58</f>
        <v>20</v>
      </c>
      <c r="X59" s="89" t="s">
        <v>285</v>
      </c>
      <c r="Y59" s="311">
        <f ca="1">VLOOKUP(Y$3,'Vegetated Channel'!$A$25:$B$32,2,FALSE)</f>
        <v>6213.7337929166806</v>
      </c>
      <c r="Z59" s="92">
        <f ca="1">VLOOKUP(Z$3,'Vegetated Channel'!$A$25:$B$32,2,FALSE)</f>
        <v>12308.788666016191</v>
      </c>
      <c r="AA59" s="92">
        <f ca="1">VLOOKUP(AA$3,'Vegetated Channel'!$A$25:$B$32,2,FALSE)</f>
        <v>5838.4358244272262</v>
      </c>
      <c r="AB59" s="92">
        <f ca="1">VLOOKUP(AB$3,'Vegetated Channel'!$A$25:$B$32,2,FALSE)</f>
        <v>6082.5521041937036</v>
      </c>
      <c r="AC59" s="92">
        <f ca="1">VLOOKUP(AC$3,'Vegetated Channel'!$A$25:$B$32,2,FALSE)</f>
        <v>6484.4881461765553</v>
      </c>
      <c r="AD59" s="92">
        <f ca="1">VLOOKUP(AD$3,'Vegetated Channel'!$A$25:$B$32,2,FALSE)</f>
        <v>6092.5046747031047</v>
      </c>
      <c r="AE59" s="92">
        <f ca="1">VLOOKUP(AE$3,'Vegetated Channel'!$A$25:$B$32,2,FALSE)</f>
        <v>6281.334021806857</v>
      </c>
      <c r="AF59" s="92">
        <f ca="1">VLOOKUP(AF$3,'Vegetated Channel'!$A$25:$B$32,2,FALSE)</f>
        <v>6067.1341146858558</v>
      </c>
      <c r="AG59" s="89" t="s">
        <v>285</v>
      </c>
      <c r="AH59" s="311">
        <f ca="1">VLOOKUP(AH$3,'Vegetated Channel'!$A$35:$B$42,2,FALSE)</f>
        <v>517.81114940972338</v>
      </c>
      <c r="AI59" s="92">
        <f ca="1">VLOOKUP(AI$3,'Vegetated Channel'!$A$35:$B$42,2,FALSE)</f>
        <v>1025.7323888346825</v>
      </c>
      <c r="AJ59" s="92">
        <f ca="1">VLOOKUP(AJ$3,'Vegetated Channel'!$A$35:$B$42,2,FALSE)</f>
        <v>486.53631870226889</v>
      </c>
      <c r="AK59" s="92">
        <f ca="1">VLOOKUP(AK$3,'Vegetated Channel'!$A$35:$B$42,2,FALSE)</f>
        <v>506.87934201614195</v>
      </c>
      <c r="AL59" s="92">
        <f ca="1">VLOOKUP(AL$3,'Vegetated Channel'!$A$35:$B$42,2,FALSE)</f>
        <v>540.37401218137961</v>
      </c>
      <c r="AM59" s="92">
        <f ca="1">VLOOKUP(AM$3,'Vegetated Channel'!$A$35:$B$42,2,FALSE)</f>
        <v>507.70872289192539</v>
      </c>
      <c r="AN59" s="92">
        <f ca="1">VLOOKUP(AN$3,'Vegetated Channel'!$A$35:$B$42,2,FALSE)</f>
        <v>523.44450181723812</v>
      </c>
      <c r="AO59" s="92">
        <f ca="1">VLOOKUP(AO$3,'Vegetated Channel'!$A$35:$B$42,2,FALSE)</f>
        <v>505.59450955715471</v>
      </c>
      <c r="AP59" s="89" t="s">
        <v>250</v>
      </c>
      <c r="AQ59" s="93"/>
    </row>
    <row r="60" spans="1:44">
      <c r="A60" s="318"/>
      <c r="B60" s="324"/>
      <c r="C60" s="306"/>
      <c r="D60" s="89" t="s">
        <v>208</v>
      </c>
      <c r="E60" s="307" t="str">
        <f>CONCATENATE(B58," ",D60)</f>
        <v>Vegetated Open Channels High</v>
      </c>
      <c r="F60" s="88">
        <f>VOC_Watershed</f>
        <v>778.1226377847405</v>
      </c>
      <c r="G60" s="6">
        <f>VOC_DC</f>
        <v>1541.3835584095261</v>
      </c>
      <c r="H60" s="6">
        <f>VOC_DE</f>
        <v>731.12547715176254</v>
      </c>
      <c r="I60" s="6">
        <f>VOC_MD</f>
        <v>761.69524564661242</v>
      </c>
      <c r="J60" s="6">
        <f>VOC_NY</f>
        <v>812.02819257217584</v>
      </c>
      <c r="K60" s="6">
        <f>VOC_PA</f>
        <v>762.94156881970071</v>
      </c>
      <c r="L60" s="6">
        <f>VOC_VA</f>
        <v>786.58796156137851</v>
      </c>
      <c r="M60" s="6">
        <f>VOC_WV</f>
        <v>759.7645084980627</v>
      </c>
      <c r="N60" s="9" t="s">
        <v>423</v>
      </c>
      <c r="O60" s="311">
        <f>VLOOKUP(O$3,'Vegetated Channel'!$A$15:$B$22,2,FALSE)</f>
        <v>778.1226377847405</v>
      </c>
      <c r="P60" s="92">
        <f>VLOOKUP(P$3,'Vegetated Channel'!$A$15:$B$22,2,FALSE)</f>
        <v>1541.3835584095261</v>
      </c>
      <c r="Q60" s="92">
        <f>VLOOKUP(Q$3,'Vegetated Channel'!$A$15:$B$22,2,FALSE)</f>
        <v>731.12547715176254</v>
      </c>
      <c r="R60" s="92">
        <f>VLOOKUP(R$3,'Vegetated Channel'!$A$15:$B$22,2,FALSE)</f>
        <v>761.69524564661242</v>
      </c>
      <c r="S60" s="92">
        <f>VLOOKUP(S$3,'Vegetated Channel'!$A$15:$B$22,2,FALSE)</f>
        <v>812.02819257217584</v>
      </c>
      <c r="T60" s="92">
        <f>VLOOKUP(T$3,'Vegetated Channel'!$A$15:$B$22,2,FALSE)</f>
        <v>762.94156881970071</v>
      </c>
      <c r="U60" s="92">
        <f>VLOOKUP(U$3,'Vegetated Channel'!$A$15:$B$22,2,FALSE)</f>
        <v>786.58796156137851</v>
      </c>
      <c r="V60" s="92">
        <f>VLOOKUP(V$3,'Vegetated Channel'!$A$15:$B$22,2,FALSE)</f>
        <v>759.7645084980627</v>
      </c>
      <c r="W60" s="90">
        <f>W58</f>
        <v>20</v>
      </c>
      <c r="X60" s="89" t="s">
        <v>285</v>
      </c>
      <c r="Y60" s="311">
        <f ca="1">VLOOKUP(Y$3,'Vegetated Channel'!$A$25:$B$32,2,FALSE)</f>
        <v>6213.7337929166806</v>
      </c>
      <c r="Z60" s="92">
        <f ca="1">VLOOKUP(Z$3,'Vegetated Channel'!$A$25:$B$32,2,FALSE)</f>
        <v>12308.788666016191</v>
      </c>
      <c r="AA60" s="92">
        <f ca="1">VLOOKUP(AA$3,'Vegetated Channel'!$A$25:$B$32,2,FALSE)</f>
        <v>5838.4358244272262</v>
      </c>
      <c r="AB60" s="92">
        <f ca="1">VLOOKUP(AB$3,'Vegetated Channel'!$A$25:$B$32,2,FALSE)</f>
        <v>6082.5521041937036</v>
      </c>
      <c r="AC60" s="92">
        <f ca="1">VLOOKUP(AC$3,'Vegetated Channel'!$A$25:$B$32,2,FALSE)</f>
        <v>6484.4881461765553</v>
      </c>
      <c r="AD60" s="92">
        <f ca="1">VLOOKUP(AD$3,'Vegetated Channel'!$A$25:$B$32,2,FALSE)</f>
        <v>6092.5046747031047</v>
      </c>
      <c r="AE60" s="92">
        <f ca="1">VLOOKUP(AE$3,'Vegetated Channel'!$A$25:$B$32,2,FALSE)</f>
        <v>6281.334021806857</v>
      </c>
      <c r="AF60" s="92">
        <f ca="1">VLOOKUP(AF$3,'Vegetated Channel'!$A$25:$B$32,2,FALSE)</f>
        <v>6067.1341146858558</v>
      </c>
      <c r="AG60" s="89" t="s">
        <v>285</v>
      </c>
      <c r="AH60" s="311">
        <f ca="1">VLOOKUP(AH$3,'Vegetated Channel'!$A$35:$B$42,2,FALSE)</f>
        <v>517.81114940972338</v>
      </c>
      <c r="AI60" s="92">
        <f ca="1">VLOOKUP(AI$3,'Vegetated Channel'!$A$35:$B$42,2,FALSE)</f>
        <v>1025.7323888346825</v>
      </c>
      <c r="AJ60" s="92">
        <f ca="1">VLOOKUP(AJ$3,'Vegetated Channel'!$A$35:$B$42,2,FALSE)</f>
        <v>486.53631870226889</v>
      </c>
      <c r="AK60" s="92">
        <f ca="1">VLOOKUP(AK$3,'Vegetated Channel'!$A$35:$B$42,2,FALSE)</f>
        <v>506.87934201614195</v>
      </c>
      <c r="AL60" s="92">
        <f ca="1">VLOOKUP(AL$3,'Vegetated Channel'!$A$35:$B$42,2,FALSE)</f>
        <v>540.37401218137961</v>
      </c>
      <c r="AM60" s="92">
        <f ca="1">VLOOKUP(AM$3,'Vegetated Channel'!$A$35:$B$42,2,FALSE)</f>
        <v>507.70872289192539</v>
      </c>
      <c r="AN60" s="92">
        <f ca="1">VLOOKUP(AN$3,'Vegetated Channel'!$A$35:$B$42,2,FALSE)</f>
        <v>523.44450181723812</v>
      </c>
      <c r="AO60" s="92">
        <f ca="1">VLOOKUP(AO$3,'Vegetated Channel'!$A$35:$B$42,2,FALSE)</f>
        <v>505.59450955715471</v>
      </c>
      <c r="AP60" s="89" t="s">
        <v>250</v>
      </c>
      <c r="AQ60" s="93"/>
    </row>
    <row r="61" spans="1:44">
      <c r="A61" s="313">
        <v>23</v>
      </c>
      <c r="B61" s="316" t="s">
        <v>109</v>
      </c>
      <c r="C61" s="94" t="s">
        <v>276</v>
      </c>
      <c r="D61" s="301" t="s">
        <v>207</v>
      </c>
      <c r="E61" s="12" t="str">
        <f>CONCATENATE(B61," ",D61)</f>
        <v>Bioretention Low</v>
      </c>
      <c r="F61" s="302">
        <f ca="1">INDEX(INDIRECT($C61),MATCH(F$3,Bioretention!$B$14:$B$21,0),MATCH($D61,Bioretention!$C$13:$E$13,0))</f>
        <v>1126.7181631977053</v>
      </c>
      <c r="G61" s="303">
        <f ca="1">INDEX(INDIRECT($C61),MATCH(G$3,Bioretention!$B$14:$B$21,0),MATCH($D61,Bioretention!$C$13:$E$13,0))</f>
        <v>2231.916625197538</v>
      </c>
      <c r="H61" s="303">
        <f ca="1">INDEX(INDIRECT($C61),MATCH(H$3,Bioretention!$B$14:$B$21,0),MATCH($D61,Bioretention!$C$13:$E$13,0))</f>
        <v>1058.6664809402034</v>
      </c>
      <c r="I61" s="303">
        <f ca="1">INDEX(INDIRECT($C61),MATCH(I$3,Bioretention!$B$14:$B$21,0),MATCH($D61,Bioretention!$C$13:$E$13,0))</f>
        <v>1102.9313715054677</v>
      </c>
      <c r="J61" s="303">
        <f ca="1">INDEX(INDIRECT($C61),MATCH(J$3,Bioretention!$B$14:$B$21,0),MATCH($D61,Bioretention!$C$13:$E$13,0))</f>
        <v>1175.8132576690043</v>
      </c>
      <c r="K61" s="303">
        <f ca="1">INDEX(INDIRECT($C61),MATCH(K$3,Bioretention!$B$14:$B$21,0),MATCH($D61,Bioretention!$C$13:$E$13,0))</f>
        <v>1104.7360419881702</v>
      </c>
      <c r="L61" s="303">
        <f ca="1">INDEX(INDIRECT($C61),MATCH(L$3,Bioretention!$B$14:$B$21,0),MATCH($D61,Bioretention!$C$13:$E$13,0))</f>
        <v>1138.9759148596304</v>
      </c>
      <c r="M61" s="303">
        <f ca="1">INDEX(INDIRECT($C61),MATCH(M$3,Bioretention!$B$14:$B$21,0),MATCH($D61,Bioretention!$C$13:$E$13,0))</f>
        <v>1100.1356725911876</v>
      </c>
      <c r="N61" s="40" t="s">
        <v>251</v>
      </c>
      <c r="O61" s="281">
        <f ca="1">INDEX(Bioretention!$C$24:$E$31,MATCH(O$3,Bioretention!$B$24:$B$31,FALSE),MATCH($D61,Bioretention!$C$23:$E$23,0))</f>
        <v>7551.1097206845525</v>
      </c>
      <c r="P61" s="6">
        <f ca="1">INDEX(Bioretention!$C$24:$E$31,MATCH(P$3,Bioretention!$B$24:$B$31,FALSE),MATCH($D61,Bioretention!$C$23:$E$23,0))</f>
        <v>14957.997372169206</v>
      </c>
      <c r="Q61" s="6">
        <f ca="1">INDEX(Bioretention!$C$24:$E$31,MATCH(Q$3,Bioretention!$B$24:$B$31,FALSE),MATCH($D61,Bioretention!$C$23:$E$23,0))</f>
        <v>7095.0367326134519</v>
      </c>
      <c r="R61" s="6">
        <f ca="1">INDEX(Bioretention!$C$24:$E$31,MATCH(R$3,Bioretention!$B$24:$B$31,FALSE),MATCH($D61,Bioretention!$C$23:$E$23,0))</f>
        <v>7391.693923692882</v>
      </c>
      <c r="S61" s="6">
        <f ca="1">INDEX(Bioretention!$C$24:$E$31,MATCH(S$3,Bioretention!$B$24:$B$31,FALSE),MATCH($D61,Bioretention!$C$23:$E$23,0))</f>
        <v>7880.1382721086438</v>
      </c>
      <c r="T61" s="6">
        <f ca="1">INDEX(Bioretention!$C$24:$E$31,MATCH(T$3,Bioretention!$B$24:$B$31,FALSE),MATCH($D61,Bioretention!$C$23:$E$23,0))</f>
        <v>7403.7885763484246</v>
      </c>
      <c r="U61" s="6">
        <f ca="1">INDEX(Bioretention!$C$24:$E$31,MATCH(U$3,Bioretention!$B$24:$B$31,FALSE),MATCH($D61,Bioretention!$C$23:$E$23,0))</f>
        <v>7633.2594816020555</v>
      </c>
      <c r="V61" s="6">
        <f ca="1">INDEX(Bioretention!$C$24:$E$31,MATCH(V$3,Bioretention!$B$24:$B$31,FALSE),MATCH($D61,Bioretention!$C$23:$E$23,0))</f>
        <v>7372.9575351821877</v>
      </c>
      <c r="W61" s="304">
        <f>Bioretention!C3</f>
        <v>20</v>
      </c>
      <c r="X61" s="305" t="s">
        <v>285</v>
      </c>
      <c r="Y61" s="281">
        <f ca="1">INDEX(Bioretention!$C$34:$E$41,MATCH(Y$3,Bioretention!$B$34:$B$41,FALSE),MATCH($D61,Bioretention!$C$23:$E$23,0))</f>
        <v>776.71672411458508</v>
      </c>
      <c r="Z61" s="6">
        <f ca="1">INDEX(Bioretention!$C$34:$E$41,MATCH(Z$3,Bioretention!$B$34:$B$41,FALSE),MATCH($D61,Bioretention!$C$23:$E$23,0))</f>
        <v>1538.5985832520239</v>
      </c>
      <c r="AA61" s="6">
        <f ca="1">INDEX(Bioretention!$C$34:$E$41,MATCH(AA$3,Bioretention!$B$34:$B$41,FALSE),MATCH($D61,Bioretention!$C$23:$E$23,0))</f>
        <v>729.80447805340327</v>
      </c>
      <c r="AB61" s="6">
        <f ca="1">INDEX(Bioretention!$C$34:$E$41,MATCH(AB$3,Bioretention!$B$34:$B$41,FALSE),MATCH($D61,Bioretention!$C$23:$E$23,0))</f>
        <v>760.31901302421295</v>
      </c>
      <c r="AC61" s="6">
        <f ca="1">INDEX(Bioretention!$C$34:$E$41,MATCH(AC$3,Bioretention!$B$34:$B$41,FALSE),MATCH($D61,Bioretention!$C$23:$E$23,0))</f>
        <v>810.56101827206942</v>
      </c>
      <c r="AD61" s="6">
        <f ca="1">INDEX(Bioretention!$C$34:$E$41,MATCH(AD$3,Bioretention!$B$34:$B$41,FALSE),MATCH($D61,Bioretention!$C$23:$E$23,0))</f>
        <v>761.56308433788809</v>
      </c>
      <c r="AE61" s="6">
        <f ca="1">INDEX(Bioretention!$C$34:$E$41,MATCH(AE$3,Bioretention!$B$34:$B$41,FALSE),MATCH($D61,Bioretention!$C$23:$E$23,0))</f>
        <v>785.16675272585712</v>
      </c>
      <c r="AF61" s="6">
        <f ca="1">INDEX(Bioretention!$C$34:$E$41,MATCH(AF$3,Bioretention!$B$34:$B$41,FALSE),MATCH($D61,Bioretention!$C$23:$E$23,0))</f>
        <v>758.39176433573198</v>
      </c>
      <c r="AG61" s="305" t="s">
        <v>285</v>
      </c>
      <c r="AH61" s="281">
        <f ca="1">INDEX(Bioretention!$C$44:$E$51,MATCH(AH$3,Bioretention!$B$44:$B$51,FALSE),MATCH($D61,Bioretention!$C$23:$E$23,0))</f>
        <v>359.57665336593112</v>
      </c>
      <c r="AI61" s="6">
        <f ca="1">INDEX(Bioretention!$C$44:$E$51,MATCH(AI$3,Bioretention!$B$44:$B$51,FALSE),MATCH($D61,Bioretention!$C$23:$E$23,0))</f>
        <v>712.28558915091469</v>
      </c>
      <c r="AJ61" s="6">
        <f ca="1">INDEX(Bioretention!$C$44:$E$51,MATCH(AJ$3,Bioretention!$B$44:$B$51,FALSE),MATCH($D61,Bioretention!$C$23:$E$23,0))</f>
        <v>337.85889202921203</v>
      </c>
      <c r="AK61" s="6">
        <f ca="1">INDEX(Bioretention!$C$44:$E$51,MATCH(AK$3,Bioretention!$B$44:$B$51,FALSE),MATCH($D61,Bioretention!$C$23:$E$23,0))</f>
        <v>351.98542493775631</v>
      </c>
      <c r="AL61" s="6">
        <f ca="1">INDEX(Bioretention!$C$44:$E$51,MATCH(AL$3,Bioretention!$B$44:$B$51,FALSE),MATCH($D61,Bioretention!$C$23:$E$23,0))</f>
        <v>375.24467962422113</v>
      </c>
      <c r="AM61" s="6">
        <f ca="1">INDEX(Bioretention!$C$44:$E$51,MATCH(AM$3,Bioretention!$B$44:$B$51,FALSE),MATCH($D61,Bioretention!$C$23:$E$23,0))</f>
        <v>352.56136077849646</v>
      </c>
      <c r="AN61" s="6">
        <f ca="1">INDEX(Bioretention!$C$44:$E$51,MATCH(AN$3,Bioretention!$B$44:$B$51,FALSE),MATCH($D61,Bioretention!$C$23:$E$23,0))</f>
        <v>363.48854674295507</v>
      </c>
      <c r="AO61" s="6">
        <f ca="1">INDEX(Bioretention!$C$44:$E$51,MATCH(AO$3,Bioretention!$B$44:$B$51,FALSE),MATCH($D61,Bioretention!$C$23:$E$23,0))</f>
        <v>351.09321596105656</v>
      </c>
      <c r="AP61" s="89" t="s">
        <v>250</v>
      </c>
      <c r="AQ61" s="97"/>
      <c r="AR61" s="55" t="s">
        <v>68</v>
      </c>
    </row>
    <row r="62" spans="1:44">
      <c r="A62" s="314"/>
      <c r="B62" s="316"/>
      <c r="C62" s="87" t="s">
        <v>276</v>
      </c>
      <c r="D62" s="171" t="s">
        <v>18</v>
      </c>
      <c r="E62" s="36" t="str">
        <f>CONCATENATE(B61," ",D62)</f>
        <v>Bioretention Median</v>
      </c>
      <c r="F62" s="88">
        <f ca="1">INDEX(INDIRECT($C62),MATCH(F$3,Bioretention!$B$14:$B$21,0),MATCH($D62,Bioretention!$C$13:$E$13,0))</f>
        <v>1683.5787048566096</v>
      </c>
      <c r="G62" s="6">
        <f ca="1">INDEX(INDIRECT($C62),MATCH(G$3,Bioretention!$B$14:$B$21,0),MATCH($D62,Bioretention!$C$13:$E$13,0))</f>
        <v>3335.0019764779977</v>
      </c>
      <c r="H62" s="252">
        <f ca="1">INDEX(INDIRECT($C62),MATCH(H$3,Bioretention!$B$14:$B$21,0),MATCH($D62,Bioretention!$C$13:$E$13,0))</f>
        <v>1581.8936812006141</v>
      </c>
      <c r="I62" s="6">
        <f ca="1">INDEX(INDIRECT($C62),MATCH(I$3,Bioretention!$B$14:$B$21,0),MATCH($D62,Bioretention!$C$13:$E$13,0))</f>
        <v>1648.0357117124722</v>
      </c>
      <c r="J62" s="252">
        <f ca="1">INDEX(INDIRECT($C62),MATCH(J$3,Bioretention!$B$14:$B$21,0),MATCH($D62,Bioretention!$C$13:$E$13,0))</f>
        <v>1756.9381821993913</v>
      </c>
      <c r="K62" s="6">
        <f ca="1">INDEX(INDIRECT($C62),MATCH(K$3,Bioretention!$B$14:$B$21,0),MATCH($D62,Bioretention!$C$13:$E$13,0))</f>
        <v>1650.7323086904942</v>
      </c>
      <c r="L62" s="230">
        <f ca="1">INDEX(INDIRECT($C62),MATCH(L$3,Bioretention!$B$14:$B$21,0),MATCH($D62,Bioretention!$C$13:$E$13,0))</f>
        <v>1701.8946336678298</v>
      </c>
      <c r="M62" s="6">
        <f ca="1">INDEX(INDIRECT($C62),MATCH(M$3,Bioretention!$B$14:$B$21,0),MATCH($D62,Bioretention!$C$13:$E$13,0))</f>
        <v>1643.8582880132619</v>
      </c>
      <c r="N62" s="9" t="s">
        <v>251</v>
      </c>
      <c r="O62" s="281">
        <f ca="1">INDEX(Bioretention!$C$24:$E$31,MATCH(O$3,Bioretention!$B$24:$B$31,FALSE),MATCH($D62,Bioretention!$C$23:$E$23,0))</f>
        <v>12049.534382962251</v>
      </c>
      <c r="P62" s="6">
        <f ca="1">INDEX(Bioretention!$C$24:$E$31,MATCH(P$3,Bioretention!$B$24:$B$31,FALSE),MATCH($D62,Bioretention!$C$23:$E$23,0))</f>
        <v>23868.929243935327</v>
      </c>
      <c r="Q62" s="6">
        <f ca="1">INDEX(Bioretention!$C$24:$E$31,MATCH(Q$3,Bioretention!$B$24:$B$31,FALSE),MATCH($D62,Bioretention!$C$23:$E$23,0))</f>
        <v>11321.764908781592</v>
      </c>
      <c r="R62" s="6">
        <f ca="1">INDEX(Bioretention!$C$24:$E$31,MATCH(R$3,Bioretention!$B$24:$B$31,FALSE),MATCH($D62,Bioretention!$C$23:$E$23,0))</f>
        <v>11795.149769562098</v>
      </c>
      <c r="S62" s="6">
        <f ca="1">INDEX(Bioretention!$C$24:$E$31,MATCH(S$3,Bioretention!$B$24:$B$31,FALSE),MATCH($D62,Bioretention!$C$23:$E$23,0))</f>
        <v>12574.575203452596</v>
      </c>
      <c r="T62" s="6">
        <f ca="1">INDEX(Bioretention!$C$24:$E$31,MATCH(T$3,Bioretention!$B$24:$B$31,FALSE),MATCH($D62,Bioretention!$C$23:$E$23,0))</f>
        <v>11814.449572957054</v>
      </c>
      <c r="U62" s="6">
        <f ca="1">INDEX(Bioretention!$C$24:$E$31,MATCH(U$3,Bioretention!$B$24:$B$31,FALSE),MATCH($D62,Bioretention!$C$23:$E$23,0))</f>
        <v>12180.623243453319</v>
      </c>
      <c r="V62" s="6">
        <f ca="1">INDEX(Bioretention!$C$24:$E$31,MATCH(V$3,Bioretention!$B$24:$B$31,FALSE),MATCH($D62,Bioretention!$C$23:$E$23,0))</f>
        <v>11765.25154719172</v>
      </c>
      <c r="W62" s="90">
        <f>W61</f>
        <v>20</v>
      </c>
      <c r="X62" s="305" t="s">
        <v>285</v>
      </c>
      <c r="Y62" s="281">
        <f ca="1">INDEX(Bioretention!$C$34:$E$41,MATCH(Y$3,Bioretention!$B$34:$B$41,FALSE),MATCH($D62,Bioretention!$C$23:$E$23,0))</f>
        <v>776.71672411458508</v>
      </c>
      <c r="Z62" s="6">
        <f ca="1">INDEX(Bioretention!$C$34:$E$41,MATCH(Z$3,Bioretention!$B$34:$B$41,FALSE),MATCH($D62,Bioretention!$C$23:$E$23,0))</f>
        <v>1538.5985832520239</v>
      </c>
      <c r="AA62" s="6">
        <f ca="1">INDEX(Bioretention!$C$34:$E$41,MATCH(AA$3,Bioretention!$B$34:$B$41,FALSE),MATCH($D62,Bioretention!$C$23:$E$23,0))</f>
        <v>729.80447805340327</v>
      </c>
      <c r="AB62" s="6">
        <f ca="1">INDEX(Bioretention!$C$34:$E$41,MATCH(AB$3,Bioretention!$B$34:$B$41,FALSE),MATCH($D62,Bioretention!$C$23:$E$23,0))</f>
        <v>760.31901302421295</v>
      </c>
      <c r="AC62" s="6">
        <f ca="1">INDEX(Bioretention!$C$34:$E$41,MATCH(AC$3,Bioretention!$B$34:$B$41,FALSE),MATCH($D62,Bioretention!$C$23:$E$23,0))</f>
        <v>810.56101827206942</v>
      </c>
      <c r="AD62" s="6">
        <f ca="1">INDEX(Bioretention!$C$34:$E$41,MATCH(AD$3,Bioretention!$B$34:$B$41,FALSE),MATCH($D62,Bioretention!$C$23:$E$23,0))</f>
        <v>761.56308433788809</v>
      </c>
      <c r="AE62" s="6">
        <f ca="1">INDEX(Bioretention!$C$34:$E$41,MATCH(AE$3,Bioretention!$B$34:$B$41,FALSE),MATCH($D62,Bioretention!$C$23:$E$23,0))</f>
        <v>785.16675272585712</v>
      </c>
      <c r="AF62" s="6">
        <f ca="1">INDEX(Bioretention!$C$34:$E$41,MATCH(AF$3,Bioretention!$B$34:$B$41,FALSE),MATCH($D62,Bioretention!$C$23:$E$23,0))</f>
        <v>758.39176433573198</v>
      </c>
      <c r="AG62" s="305" t="s">
        <v>285</v>
      </c>
      <c r="AH62" s="281">
        <f ca="1">INDEX(Bioretention!$C$44:$E$51,MATCH(AH$3,Bioretention!$B$44:$B$51,FALSE),MATCH($D62,Bioretention!$C$23:$E$23,0))</f>
        <v>491.81772991682658</v>
      </c>
      <c r="AI62" s="6">
        <f ca="1">INDEX(Bioretention!$C$44:$E$51,MATCH(AI$3,Bioretention!$B$44:$B$51,FALSE),MATCH($D62,Bioretention!$C$23:$E$23,0))</f>
        <v>974.24200995654405</v>
      </c>
      <c r="AJ62" s="6">
        <f ca="1">INDEX(Bioretention!$C$44:$E$51,MATCH(AJ$3,Bioretention!$B$44:$B$51,FALSE),MATCH($D62,Bioretention!$C$23:$E$23,0))</f>
        <v>462.11285341965686</v>
      </c>
      <c r="AK62" s="6">
        <f ca="1">INDEX(Bioretention!$C$44:$E$51,MATCH(AK$3,Bioretention!$B$44:$B$51,FALSE),MATCH($D62,Bioretention!$C$23:$E$23,0))</f>
        <v>481.43468447192242</v>
      </c>
      <c r="AL62" s="6">
        <f ca="1">INDEX(Bioretention!$C$44:$E$51,MATCH(AL$3,Bioretention!$B$44:$B$51,FALSE),MATCH($D62,Bioretention!$C$23:$E$23,0))</f>
        <v>513.24796748786116</v>
      </c>
      <c r="AM62" s="6">
        <f ca="1">INDEX(Bioretention!$C$44:$E$51,MATCH(AM$3,Bioretention!$B$44:$B$51,FALSE),MATCH($D62,Bioretention!$C$23:$E$23,0))</f>
        <v>482.22243154926758</v>
      </c>
      <c r="AN62" s="6">
        <f ca="1">INDEX(Bioretention!$C$44:$E$51,MATCH(AN$3,Bioretention!$B$44:$B$51,FALSE),MATCH($D62,Bioretention!$C$23:$E$23,0))</f>
        <v>497.16829565115597</v>
      </c>
      <c r="AO62" s="6">
        <f ca="1">INDEX(Bioretention!$C$44:$E$51,MATCH(AO$3,Bioretention!$B$44:$B$51,FALSE),MATCH($D62,Bioretention!$C$23:$E$23,0))</f>
        <v>480.21434886496826</v>
      </c>
      <c r="AP62" s="89" t="s">
        <v>250</v>
      </c>
      <c r="AQ62" s="238"/>
      <c r="AR62" s="242"/>
    </row>
    <row r="63" spans="1:44">
      <c r="A63" s="315"/>
      <c r="B63" s="317"/>
      <c r="C63" s="87" t="s">
        <v>276</v>
      </c>
      <c r="D63" s="171" t="s">
        <v>208</v>
      </c>
      <c r="E63" s="36" t="str">
        <f>CONCATENATE(B61," ",D63)</f>
        <v>Bioretention High</v>
      </c>
      <c r="F63" s="88">
        <f ca="1">INDEX(INDIRECT($C63),MATCH(F$3,Bioretention!$B$14:$B$21,0),MATCH($D63,Bioretention!$C$13:$E$13,0))</f>
        <v>2984.4436572807504</v>
      </c>
      <c r="G63" s="6">
        <f ca="1">INDEX(INDIRECT($C63),MATCH(G$3,Bioretention!$B$14:$B$21,0),MATCH($D63,Bioretention!$C$13:$E$13,0))</f>
        <v>5911.8860716204135</v>
      </c>
      <c r="H63" s="252">
        <f ca="1">INDEX(INDIRECT($C63),MATCH(H$3,Bioretention!$B$14:$B$21,0),MATCH($D63,Bioretention!$C$13:$E$13,0))</f>
        <v>2804.1888090724951</v>
      </c>
      <c r="I63" s="6">
        <f ca="1">INDEX(INDIRECT($C63),MATCH(I$3,Bioretention!$B$14:$B$21,0),MATCH($D63,Bioretention!$C$13:$E$13,0))</f>
        <v>2921.4373599548235</v>
      </c>
      <c r="J63" s="252">
        <f ca="1">INDEX(INDIRECT($C63),MATCH(J$3,Bioretention!$B$14:$B$21,0),MATCH($D63,Bioretention!$C$13:$E$13,0))</f>
        <v>3114.4864204883916</v>
      </c>
      <c r="K63" s="6">
        <f ca="1">INDEX(INDIRECT($C63),MATCH(K$3,Bioretention!$B$14:$B$21,0),MATCH($D63,Bioretention!$C$13:$E$13,0))</f>
        <v>2926.2175592553281</v>
      </c>
      <c r="L63" s="230">
        <f ca="1">INDEX(INDIRECT($C63),MATCH(L$3,Bioretention!$B$14:$B$21,0),MATCH($D63,Bioretention!$C$13:$E$13,0))</f>
        <v>3016.9119092312922</v>
      </c>
      <c r="M63" s="6">
        <f ca="1">INDEX(INDIRECT($C63),MATCH(M$3,Bioretention!$B$14:$B$21,0),MATCH($D63,Bioretention!$C$13:$E$13,0))</f>
        <v>2914.0321310653644</v>
      </c>
      <c r="N63" s="9" t="s">
        <v>251</v>
      </c>
      <c r="O63" s="281">
        <f ca="1">INDEX(Bioretention!$C$24:$E$31,MATCH(O$3,Bioretention!$B$24:$B$31,FALSE),MATCH($D63,Bioretention!$C$23:$E$23,0))</f>
        <v>22520.45412216767</v>
      </c>
      <c r="P63" s="6">
        <f ca="1">INDEX(Bioretention!$C$24:$E$31,MATCH(P$3,Bioretention!$B$24:$B$31,FALSE),MATCH($D63,Bioretention!$C$23:$E$23,0))</f>
        <v>44610.779877385066</v>
      </c>
      <c r="Q63" s="6">
        <f ca="1">INDEX(Bioretention!$C$24:$E$31,MATCH(Q$3,Bioretention!$B$24:$B$31,FALSE),MATCH($D63,Bioretention!$C$23:$E$23,0))</f>
        <v>21160.260563321594</v>
      </c>
      <c r="R63" s="6">
        <f ca="1">INDEX(Bioretention!$C$24:$E$31,MATCH(R$3,Bioretention!$B$24:$B$31,FALSE),MATCH($D63,Bioretention!$C$23:$E$23,0))</f>
        <v>22045.011932172019</v>
      </c>
      <c r="S63" s="6">
        <f ca="1">INDEX(Bioretention!$C$24:$E$31,MATCH(S$3,Bioretention!$B$24:$B$31,FALSE),MATCH($D63,Bioretention!$C$23:$E$23,0))</f>
        <v>23501.749941102982</v>
      </c>
      <c r="T63" s="6">
        <f ca="1">INDEX(Bioretention!$C$24:$E$31,MATCH(T$3,Bioretention!$B$24:$B$31,FALSE),MATCH($D63,Bioretention!$C$23:$E$23,0))</f>
        <v>22081.083063479593</v>
      </c>
      <c r="U63" s="6">
        <f ca="1">INDEX(Bioretention!$C$24:$E$31,MATCH(U$3,Bioretention!$B$24:$B$31,FALSE),MATCH($D63,Bioretention!$C$23:$E$23,0))</f>
        <v>22765.457835571793</v>
      </c>
      <c r="V63" s="6">
        <f ca="1">INDEX(Bioretention!$C$24:$E$31,MATCH(V$3,Bioretention!$B$24:$B$31,FALSE),MATCH($D63,Bioretention!$C$23:$E$23,0))</f>
        <v>21989.1324663083</v>
      </c>
      <c r="W63" s="90">
        <f>W61</f>
        <v>20</v>
      </c>
      <c r="X63" s="305" t="s">
        <v>285</v>
      </c>
      <c r="Y63" s="281">
        <f ca="1">INDEX(Bioretention!$C$34:$E$41,MATCH(Y$3,Bioretention!$B$34:$B$41,FALSE),MATCH($D63,Bioretention!$C$23:$E$23,0))</f>
        <v>776.71672411458508</v>
      </c>
      <c r="Z63" s="6">
        <f ca="1">INDEX(Bioretention!$C$34:$E$41,MATCH(Z$3,Bioretention!$B$34:$B$41,FALSE),MATCH($D63,Bioretention!$C$23:$E$23,0))</f>
        <v>1538.5985832520239</v>
      </c>
      <c r="AA63" s="6">
        <f ca="1">INDEX(Bioretention!$C$34:$E$41,MATCH(AA$3,Bioretention!$B$34:$B$41,FALSE),MATCH($D63,Bioretention!$C$23:$E$23,0))</f>
        <v>729.80447805340327</v>
      </c>
      <c r="AB63" s="6">
        <f ca="1">INDEX(Bioretention!$C$34:$E$41,MATCH(AB$3,Bioretention!$B$34:$B$41,FALSE),MATCH($D63,Bioretention!$C$23:$E$23,0))</f>
        <v>760.31901302421295</v>
      </c>
      <c r="AC63" s="6">
        <f ca="1">INDEX(Bioretention!$C$34:$E$41,MATCH(AC$3,Bioretention!$B$34:$B$41,FALSE),MATCH($D63,Bioretention!$C$23:$E$23,0))</f>
        <v>810.56101827206942</v>
      </c>
      <c r="AD63" s="6">
        <f ca="1">INDEX(Bioretention!$C$34:$E$41,MATCH(AD$3,Bioretention!$B$34:$B$41,FALSE),MATCH($D63,Bioretention!$C$23:$E$23,0))</f>
        <v>761.56308433788809</v>
      </c>
      <c r="AE63" s="6">
        <f ca="1">INDEX(Bioretention!$C$34:$E$41,MATCH(AE$3,Bioretention!$B$34:$B$41,FALSE),MATCH($D63,Bioretention!$C$23:$E$23,0))</f>
        <v>785.16675272585712</v>
      </c>
      <c r="AF63" s="6">
        <f ca="1">INDEX(Bioretention!$C$34:$E$41,MATCH(AF$3,Bioretention!$B$34:$B$41,FALSE),MATCH($D63,Bioretention!$C$23:$E$23,0))</f>
        <v>758.39176433573198</v>
      </c>
      <c r="AG63" s="305" t="s">
        <v>285</v>
      </c>
      <c r="AH63" s="281">
        <f ca="1">INDEX(Bioretention!$C$44:$E$51,MATCH(AH$3,Bioretention!$B$44:$B$51,FALSE),MATCH($D63,Bioretention!$C$23:$E$23,0))</f>
        <v>804.30193293455977</v>
      </c>
      <c r="AI63" s="6">
        <f ca="1">INDEX(Bioretention!$C$44:$E$51,MATCH(AI$3,Bioretention!$B$44:$B$51,FALSE),MATCH($D63,Bioretention!$C$23:$E$23,0))</f>
        <v>1593.2421384780382</v>
      </c>
      <c r="AJ63" s="6">
        <f ca="1">INDEX(Bioretention!$C$44:$E$51,MATCH(AJ$3,Bioretention!$B$44:$B$51,FALSE),MATCH($D63,Bioretention!$C$23:$E$23,0))</f>
        <v>755.72359154719982</v>
      </c>
      <c r="AK63" s="6">
        <f ca="1">INDEX(Bioretention!$C$44:$E$51,MATCH(AK$3,Bioretention!$B$44:$B$51,FALSE),MATCH($D63,Bioretention!$C$23:$E$23,0))</f>
        <v>787.32185472042931</v>
      </c>
      <c r="AL63" s="6">
        <f ca="1">INDEX(Bioretention!$C$44:$E$51,MATCH(AL$3,Bioretention!$B$44:$B$51,FALSE),MATCH($D63,Bioretention!$C$23:$E$23,0))</f>
        <v>839.34821218224931</v>
      </c>
      <c r="AM63" s="6">
        <f ca="1">INDEX(Bioretention!$C$44:$E$51,MATCH(AM$3,Bioretention!$B$44:$B$51,FALSE),MATCH($D63,Bioretention!$C$23:$E$23,0))</f>
        <v>788.61010940998551</v>
      </c>
      <c r="AN63" s="6">
        <f ca="1">INDEX(Bioretention!$C$44:$E$51,MATCH(AN$3,Bioretention!$B$44:$B$51,FALSE),MATCH($D63,Bioretention!$C$23:$E$23,0))</f>
        <v>813.05206555613552</v>
      </c>
      <c r="AO63" s="6">
        <f ca="1">INDEX(Bioretention!$C$44:$E$51,MATCH(AO$3,Bioretention!$B$44:$B$51,FALSE),MATCH($D63,Bioretention!$C$23:$E$23,0))</f>
        <v>785.3261595110107</v>
      </c>
      <c r="AP63" s="89" t="s">
        <v>250</v>
      </c>
      <c r="AQ63" s="238"/>
      <c r="AR63" s="242"/>
    </row>
    <row r="64" spans="1:44">
      <c r="A64" s="313">
        <v>24</v>
      </c>
      <c r="B64" s="319" t="s">
        <v>13</v>
      </c>
      <c r="C64" s="241" t="s">
        <v>279</v>
      </c>
      <c r="D64" s="171" t="s">
        <v>207</v>
      </c>
      <c r="E64" s="36" t="str">
        <f>CONCATENATE(B64," ",D64)</f>
        <v>Bioswale Low</v>
      </c>
      <c r="F64" s="88">
        <f ca="1">INDEX(INDIRECT($C64),MATCH(F$3,Bioswale!$B$14:$B$21,0),MATCH($D64,Bioswale!$C$13:$E$13,0))</f>
        <v>753.04521371842463</v>
      </c>
      <c r="G64" s="6">
        <f ca="1">INDEX(INDIRECT($C64),MATCH(G$3,Bioswale!$B$14:$B$21,0),MATCH($D64,Bioswale!$C$13:$E$13,0))</f>
        <v>1491.7076753724671</v>
      </c>
      <c r="H64" s="252">
        <f ca="1">INDEX(INDIRECT($C64),MATCH(H$3,Bioswale!$B$14:$B$21,0),MATCH($D64,Bioswale!$C$13:$E$13,0))</f>
        <v>707.56268287498892</v>
      </c>
      <c r="I64" s="6">
        <f ca="1">INDEX(INDIRECT($C64),MATCH(I$3,Bioswale!$B$14:$B$21,0),MATCH($D64,Bioswale!$C$13:$E$13,0))</f>
        <v>737.14724542552017</v>
      </c>
      <c r="J64" s="252">
        <f ca="1">INDEX(INDIRECT($C64),MATCH(J$3,Bioswale!$B$14:$B$21,0),MATCH($D64,Bioswale!$C$13:$E$13,0))</f>
        <v>785.85805646495487</v>
      </c>
      <c r="K64" s="6">
        <f ca="1">INDEX(INDIRECT($C64),MATCH(K$3,Bioswale!$B$14:$B$21,0),MATCH($D64,Bioswale!$C$13:$E$13,0))</f>
        <v>738.35340195492336</v>
      </c>
      <c r="L64" s="230">
        <f ca="1">INDEX(INDIRECT($C64),MATCH(L$3,Bioswale!$B$14:$B$21,0),MATCH($D64,Bioswale!$C$13:$E$13,0))</f>
        <v>761.23771608633217</v>
      </c>
      <c r="M64" s="6">
        <f ca="1">INDEX(INDIRECT($C64),MATCH(M$3,Bioswale!$B$14:$B$21,0),MATCH($D64,Bioswale!$C$13:$E$13,0))</f>
        <v>735.27873229139129</v>
      </c>
      <c r="N64" s="9" t="s">
        <v>251</v>
      </c>
      <c r="O64" s="281">
        <f ca="1">INDEX(Bioswale!$C$24:$E$31,MATCH(O$3,Bioswale!$B$24:$B$31,FALSE),MATCH($D64,Bioswale!$C$23:$E$23,0))</f>
        <v>5047.450692280966</v>
      </c>
      <c r="P64" s="6">
        <f ca="1">INDEX(Bioswale!$C$24:$E$31,MATCH(P$3,Bioswale!$B$24:$B$31,FALSE),MATCH($D64,Bioswale!$C$23:$E$23,0))</f>
        <v>9998.4978346265943</v>
      </c>
      <c r="Q64" s="6">
        <f ca="1">INDEX(Bioswale!$C$24:$E$31,MATCH(Q$3,Bioswale!$B$24:$B$31,FALSE),MATCH($D64,Bioswale!$C$23:$E$23,0))</f>
        <v>4742.594054710954</v>
      </c>
      <c r="R64" s="6">
        <f ca="1">INDEX(Bioswale!$C$24:$E$31,MATCH(R$3,Bioswale!$B$24:$B$31,FALSE),MATCH($D64,Bioswale!$C$23:$E$23,0))</f>
        <v>4940.8910732779477</v>
      </c>
      <c r="S64" s="6">
        <f ca="1">INDEX(Bioswale!$C$24:$E$31,MATCH(S$3,Bioswale!$B$24:$B$31,FALSE),MATCH($D64,Bioswale!$C$23:$E$23,0))</f>
        <v>5267.3859668428577</v>
      </c>
      <c r="T64" s="6">
        <f ca="1">INDEX(Bioswale!$C$24:$E$31,MATCH(T$3,Bioswale!$B$24:$B$31,FALSE),MATCH($D64,Bioswale!$C$23:$E$23,0))</f>
        <v>4948.9756019336355</v>
      </c>
      <c r="U64" s="6">
        <f ca="1">INDEX(Bioswale!$C$24:$E$31,MATCH(U$3,Bioswale!$B$24:$B$31,FALSE),MATCH($D64,Bioswale!$C$23:$E$23,0))</f>
        <v>5102.3627360667861</v>
      </c>
      <c r="V64" s="252">
        <f ca="1">INDEX(Bioswale!$C$24:$E$31,MATCH(V$3,Bioswale!$B$24:$B$31,FALSE),MATCH($D64,Bioswale!$C$23:$E$23,0))</f>
        <v>4928.3669542203088</v>
      </c>
      <c r="W64" s="90">
        <f>Bioswale!C3</f>
        <v>20</v>
      </c>
      <c r="X64" s="89" t="s">
        <v>285</v>
      </c>
      <c r="Y64" s="281">
        <f ca="1">INDEX(Bioswale!$C$34:$E$41,MATCH(Y$3,Bioswale!$B$34:$B$41,FALSE),MATCH($D64,Bioswale!$C$33:$E$33,0))</f>
        <v>517.81114940972338</v>
      </c>
      <c r="Z64" s="6">
        <f ca="1">INDEX(Bioswale!$C$34:$E$41,MATCH(Z$3,Bioswale!$B$34:$B$41,FALSE),MATCH($D64,Bioswale!$C$33:$E$33,0))</f>
        <v>1025.7323888346825</v>
      </c>
      <c r="AA64" s="6">
        <f ca="1">INDEX(Bioswale!$C$34:$E$41,MATCH(AA$3,Bioswale!$B$34:$B$41,FALSE),MATCH($D64,Bioswale!$C$33:$E$33,0))</f>
        <v>486.53631870226889</v>
      </c>
      <c r="AB64" s="6">
        <f ca="1">INDEX(Bioswale!$C$34:$E$41,MATCH(AB$3,Bioswale!$B$34:$B$41,FALSE),MATCH($D64,Bioswale!$C$33:$E$33,0))</f>
        <v>506.87934201614195</v>
      </c>
      <c r="AC64" s="6">
        <f ca="1">INDEX(Bioswale!$C$34:$E$41,MATCH(AC$3,Bioswale!$B$34:$B$41,FALSE),MATCH($D64,Bioswale!$C$33:$E$33,0))</f>
        <v>540.37401218137961</v>
      </c>
      <c r="AD64" s="6">
        <f ca="1">INDEX(Bioswale!$C$34:$E$41,MATCH(AD$3,Bioswale!$B$34:$B$41,FALSE),MATCH($D64,Bioswale!$C$33:$E$33,0))</f>
        <v>507.70872289192539</v>
      </c>
      <c r="AE64" s="6">
        <f ca="1">INDEX(Bioswale!$C$34:$E$41,MATCH(AE$3,Bioswale!$B$34:$B$41,FALSE),MATCH($D64,Bioswale!$C$33:$E$33,0))</f>
        <v>523.44450181723812</v>
      </c>
      <c r="AF64" s="6">
        <f ca="1">INDEX(Bioswale!$C$34:$E$41,MATCH(AF$3,Bioswale!$B$34:$B$41,FALSE),MATCH($D64,Bioswale!$C$33:$E$33,0))</f>
        <v>505.59450955715471</v>
      </c>
      <c r="AG64" s="89" t="s">
        <v>285</v>
      </c>
      <c r="AH64" s="281">
        <f ca="1">INDEX(Bioswale!$C$44:$E$51,MATCH(AH$3,Bioswale!$B$44:$B$51,FALSE),MATCH($D64,Bioswale!$C$43:$E$43,0))</f>
        <v>240.3547948705222</v>
      </c>
      <c r="AI64" s="6">
        <f ca="1">INDEX(Bioswale!$C$44:$E$51,MATCH(AI$3,Bioswale!$B$44:$B$51,FALSE),MATCH($D64,Bioswale!$C$43:$E$43,0))</f>
        <v>476.1189445060283</v>
      </c>
      <c r="AJ64" s="6">
        <f ca="1">INDEX(Bioswale!$C$44:$E$51,MATCH(AJ$3,Bioswale!$B$44:$B$51,FALSE),MATCH($D64,Bioswale!$C$43:$E$43,0))</f>
        <v>225.83781212909307</v>
      </c>
      <c r="AK64" s="6">
        <f ca="1">INDEX(Bioswale!$C$44:$E$51,MATCH(AK$3,Bioswale!$B$44:$B$51,FALSE),MATCH($D64,Bioswale!$C$43:$E$43,0))</f>
        <v>235.28052729894992</v>
      </c>
      <c r="AL64" s="6">
        <f ca="1">INDEX(Bioswale!$C$44:$E$51,MATCH(AL$3,Bioswale!$B$44:$B$51,FALSE),MATCH($D64,Bioswale!$C$43:$E$43,0))</f>
        <v>250.82790318299325</v>
      </c>
      <c r="AM64" s="6">
        <f ca="1">INDEX(Bioswale!$C$44:$E$51,MATCH(AM$3,Bioswale!$B$44:$B$51,FALSE),MATCH($D64,Bioswale!$C$43:$E$43,0))</f>
        <v>235.66550485398267</v>
      </c>
      <c r="AN64" s="6">
        <f ca="1">INDEX(Bioswale!$C$44:$E$51,MATCH(AN$3,Bioswale!$B$44:$B$51,FALSE),MATCH($D64,Bioswale!$C$43:$E$43,0))</f>
        <v>242.9696540984184</v>
      </c>
      <c r="AO64" s="6">
        <f ca="1">INDEX(Bioswale!$C$44:$E$51,MATCH(AO$3,Bioswale!$B$44:$B$51,FALSE),MATCH($D64,Bioswale!$C$43:$E$43,0))</f>
        <v>234.68414067715759</v>
      </c>
      <c r="AP64" s="89" t="s">
        <v>250</v>
      </c>
      <c r="AQ64" s="97"/>
      <c r="AR64" s="55" t="s">
        <v>69</v>
      </c>
    </row>
    <row r="65" spans="1:44">
      <c r="A65" s="314"/>
      <c r="B65" s="316"/>
      <c r="C65" s="241" t="s">
        <v>279</v>
      </c>
      <c r="D65" s="171" t="s">
        <v>18</v>
      </c>
      <c r="E65" s="36" t="str">
        <f>CONCATENATE(B64," ",D65)</f>
        <v>Bioswale Median</v>
      </c>
      <c r="F65" s="88">
        <f ca="1">INDEX(INDIRECT($C65),MATCH(F$3,Bioswale!$B$14:$B$21,0),MATCH($D65,Bioswale!$C$13:$E$13,0))</f>
        <v>1362.0388510817768</v>
      </c>
      <c r="G65" s="6">
        <f ca="1">INDEX(INDIRECT($C65),MATCH(G$3,Bioswale!$B$14:$B$21,0),MATCH($D65,Bioswale!$C$13:$E$13,0))</f>
        <v>2698.0635044231108</v>
      </c>
      <c r="H65" s="252">
        <f ca="1">INDEX(INDIRECT($C65),MATCH(H$3,Bioswale!$B$14:$B$21,0),MATCH($D65,Bioswale!$C$13:$E$13,0))</f>
        <v>1279.7742367853923</v>
      </c>
      <c r="I65" s="6">
        <f ca="1">INDEX(INDIRECT($C65),MATCH(I$3,Bioswale!$B$14:$B$21,0),MATCH($D65,Bioswale!$C$13:$E$13,0))</f>
        <v>1333.2840697303627</v>
      </c>
      <c r="J65" s="252">
        <f ca="1">INDEX(INDIRECT($C65),MATCH(J$3,Bioswale!$B$14:$B$21,0),MATCH($D65,Bioswale!$C$13:$E$13,0))</f>
        <v>1421.3877000234318</v>
      </c>
      <c r="K65" s="6">
        <f ca="1">INDEX(INDIRECT($C65),MATCH(K$3,Bioswale!$B$14:$B$21,0),MATCH($D65,Bioswale!$C$13:$E$13,0))</f>
        <v>1335.4656546121271</v>
      </c>
      <c r="L65" s="230">
        <f ca="1">INDEX(INDIRECT($C65),MATCH(L$3,Bioswale!$B$14:$B$21,0),MATCH($D65,Bioswale!$C$13:$E$13,0))</f>
        <v>1376.8566950961761</v>
      </c>
      <c r="M65" s="6">
        <f ca="1">INDEX(INDIRECT($C65),MATCH(M$3,Bioswale!$B$14:$B$21,0),MATCH($D65,Bioswale!$C$13:$E$13,0))</f>
        <v>1329.9044752039288</v>
      </c>
      <c r="N65" s="9" t="s">
        <v>251</v>
      </c>
      <c r="O65" s="281">
        <f ca="1">INDEX(Bioswale!$C$24:$E$31,MATCH(O$3,Bioswale!$B$24:$B$31,FALSE),MATCH($D65,Bioswale!$C$23:$E$23,0))</f>
        <v>9805.4833402797667</v>
      </c>
      <c r="P65" s="6">
        <f ca="1">INDEX(Bioswale!$C$24:$E$31,MATCH(P$3,Bioswale!$B$24:$B$31,FALSE),MATCH($D65,Bioswale!$C$23:$E$23,0))</f>
        <v>19423.687307175976</v>
      </c>
      <c r="Q65" s="6">
        <f ca="1">INDEX(Bioswale!$C$24:$E$31,MATCH(Q$3,Bioswale!$B$24:$B$31,FALSE),MATCH($D65,Bioswale!$C$23:$E$23,0))</f>
        <v>9213.2503769270152</v>
      </c>
      <c r="R65" s="6">
        <f ca="1">INDEX(Bioswale!$C$24:$E$31,MATCH(R$3,Bioswale!$B$24:$B$31,FALSE),MATCH($D65,Bioswale!$C$23:$E$23,0))</f>
        <v>9598.4741721706923</v>
      </c>
      <c r="S65" s="6">
        <f ca="1">INDEX(Bioswale!$C$24:$E$31,MATCH(S$3,Bioswale!$B$24:$B$31,FALSE),MATCH($D65,Bioswale!$C$23:$E$23,0))</f>
        <v>10232.742921825462</v>
      </c>
      <c r="T65" s="6">
        <f ca="1">INDEX(Bioswale!$C$24:$E$31,MATCH(T$3,Bioswale!$B$24:$B$31,FALSE),MATCH($D65,Bioswale!$C$23:$E$23,0))</f>
        <v>9614.1796670591521</v>
      </c>
      <c r="U65" s="6">
        <f ca="1">INDEX(Bioswale!$C$24:$E$31,MATCH(U$3,Bioswale!$B$24:$B$31,FALSE),MATCH($D65,Bioswale!$C$23:$E$23,0))</f>
        <v>9912.1588014875415</v>
      </c>
      <c r="V65" s="252">
        <f ca="1">INDEX(Bioswale!$C$24:$E$31,MATCH(V$3,Bioswale!$B$24:$B$31,FALSE),MATCH($D65,Bioswale!$C$23:$E$23,0))</f>
        <v>9574.14406014817</v>
      </c>
      <c r="W65" s="90">
        <f>W64</f>
        <v>20</v>
      </c>
      <c r="X65" s="89" t="s">
        <v>285</v>
      </c>
      <c r="Y65" s="281">
        <f ca="1">INDEX(Bioswale!$C$34:$E$41,MATCH(Y$3,Bioswale!$B$34:$B$41,FALSE),MATCH($D65,Bioswale!$C$33:$E$33,0))</f>
        <v>517.81114940972338</v>
      </c>
      <c r="Z65" s="6">
        <f ca="1">INDEX(Bioswale!$C$34:$E$41,MATCH(Z$3,Bioswale!$B$34:$B$41,FALSE),MATCH($D65,Bioswale!$C$33:$E$33,0))</f>
        <v>1025.7323888346825</v>
      </c>
      <c r="AA65" s="6">
        <f ca="1">INDEX(Bioswale!$C$34:$E$41,MATCH(AA$3,Bioswale!$B$34:$B$41,FALSE),MATCH($D65,Bioswale!$C$33:$E$33,0))</f>
        <v>486.53631870226889</v>
      </c>
      <c r="AB65" s="6">
        <f ca="1">INDEX(Bioswale!$C$34:$E$41,MATCH(AB$3,Bioswale!$B$34:$B$41,FALSE),MATCH($D65,Bioswale!$C$33:$E$33,0))</f>
        <v>506.87934201614195</v>
      </c>
      <c r="AC65" s="6">
        <f ca="1">INDEX(Bioswale!$C$34:$E$41,MATCH(AC$3,Bioswale!$B$34:$B$41,FALSE),MATCH($D65,Bioswale!$C$33:$E$33,0))</f>
        <v>540.37401218137961</v>
      </c>
      <c r="AD65" s="6">
        <f ca="1">INDEX(Bioswale!$C$34:$E$41,MATCH(AD$3,Bioswale!$B$34:$B$41,FALSE),MATCH($D65,Bioswale!$C$33:$E$33,0))</f>
        <v>507.70872289192539</v>
      </c>
      <c r="AE65" s="6">
        <f ca="1">INDEX(Bioswale!$C$34:$E$41,MATCH(AE$3,Bioswale!$B$34:$B$41,FALSE),MATCH($D65,Bioswale!$C$33:$E$33,0))</f>
        <v>523.44450181723812</v>
      </c>
      <c r="AF65" s="6">
        <f ca="1">INDEX(Bioswale!$C$34:$E$41,MATCH(AF$3,Bioswale!$B$34:$B$41,FALSE),MATCH($D65,Bioswale!$C$33:$E$33,0))</f>
        <v>505.59450955715471</v>
      </c>
      <c r="AG65" s="89" t="s">
        <v>285</v>
      </c>
      <c r="AH65" s="281">
        <f ca="1">INDEX(Bioswale!$C$44:$E$51,MATCH(AH$3,Bioswale!$B$44:$B$51,FALSE),MATCH($D65,Bioswale!$C$43:$E$43,0))</f>
        <v>400.22380980733743</v>
      </c>
      <c r="AI65" s="6">
        <f ca="1">INDEX(Bioswale!$C$44:$E$51,MATCH(AI$3,Bioswale!$B$44:$B$51,FALSE),MATCH($D65,Bioswale!$C$43:$E$43,0))</f>
        <v>792.80356355820311</v>
      </c>
      <c r="AJ65" s="6">
        <f ca="1">INDEX(Bioswale!$C$44:$E$51,MATCH(AJ$3,Bioswale!$B$44:$B$51,FALSE),MATCH($D65,Bioswale!$C$43:$E$43,0))</f>
        <v>376.05103579293933</v>
      </c>
      <c r="AK65" s="6">
        <f ca="1">INDEX(Bioswale!$C$44:$E$51,MATCH(AK$3,Bioswale!$B$44:$B$51,FALSE),MATCH($D65,Bioswale!$C$43:$E$43,0))</f>
        <v>391.77445600696706</v>
      </c>
      <c r="AL65" s="6">
        <f ca="1">INDEX(Bioswale!$C$44:$E$51,MATCH(AL$3,Bioswale!$B$44:$B$51,FALSE),MATCH($D65,Bioswale!$C$43:$E$43,0))</f>
        <v>417.6629764010392</v>
      </c>
      <c r="AM65" s="6">
        <f ca="1">INDEX(Bioswale!$C$44:$E$51,MATCH(AM$3,Bioswale!$B$44:$B$51,FALSE),MATCH($D65,Bioswale!$C$43:$E$43,0))</f>
        <v>392.41549661465922</v>
      </c>
      <c r="AN65" s="6">
        <f ca="1">INDEX(Bioswale!$C$44:$E$51,MATCH(AN$3,Bioswale!$B$44:$B$51,FALSE),MATCH($D65,Bioswale!$C$43:$E$43,0))</f>
        <v>404.57791026479765</v>
      </c>
      <c r="AO65" s="6">
        <f ca="1">INDEX(Bioswale!$C$44:$E$51,MATCH(AO$3,Bioswale!$B$44:$B$51,FALSE),MATCH($D65,Bioswale!$C$43:$E$43,0))</f>
        <v>390.78139021012936</v>
      </c>
      <c r="AP65" s="89" t="s">
        <v>250</v>
      </c>
      <c r="AQ65" s="237"/>
      <c r="AR65" s="13"/>
    </row>
    <row r="66" spans="1:44">
      <c r="A66" s="318"/>
      <c r="B66" s="320"/>
      <c r="C66" s="241" t="s">
        <v>279</v>
      </c>
      <c r="D66" s="171" t="s">
        <v>208</v>
      </c>
      <c r="E66" s="36" t="str">
        <f>CONCATENATE(B64," ",D66)</f>
        <v>Bioswale High</v>
      </c>
      <c r="F66" s="88">
        <f ca="1">INDEX(INDIRECT($C66),MATCH(F$3,Bioswale!$B$14:$B$21,0),MATCH($D66,Bioswale!$C$13:$E$13,0))</f>
        <v>2952.2789962236616</v>
      </c>
      <c r="G66" s="6">
        <f ca="1">INDEX(INDIRECT($C66),MATCH(G$3,Bioswale!$B$14:$B$21,0),MATCH($D66,Bioswale!$C$13:$E$13,0))</f>
        <v>5848.1710769553601</v>
      </c>
      <c r="H66" s="252">
        <f ca="1">INDEX(INDIRECT($C66),MATCH(H$3,Bioswale!$B$14:$B$21,0),MATCH($D66,Bioswale!$C$13:$E$13,0))</f>
        <v>2773.9668337425674</v>
      </c>
      <c r="I66" s="6">
        <f ca="1">INDEX(INDIRECT($C66),MATCH(I$3,Bioswale!$B$14:$B$21,0),MATCH($D66,Bioswale!$C$13:$E$13,0))</f>
        <v>2889.9517454573861</v>
      </c>
      <c r="J66" s="252">
        <f ca="1">INDEX(INDIRECT($C66),MATCH(J$3,Bioswale!$B$14:$B$21,0),MATCH($D66,Bioswale!$C$13:$E$13,0))</f>
        <v>3080.9202314140803</v>
      </c>
      <c r="K66" s="6">
        <f ca="1">INDEX(INDIRECT($C66),MATCH(K$3,Bioswale!$B$14:$B$21,0),MATCH($D66,Bioswale!$C$13:$E$13,0))</f>
        <v>2894.680426448972</v>
      </c>
      <c r="L66" s="230">
        <f ca="1">INDEX(INDIRECT($C66),MATCH(L$3,Bioswale!$B$14:$B$21,0),MATCH($D66,Bioswale!$C$13:$E$13,0))</f>
        <v>2984.3973235520521</v>
      </c>
      <c r="M66" s="6">
        <f ca="1">INDEX(INDIRECT($C66),MATCH(M$3,Bioswale!$B$14:$B$21,0),MATCH($D66,Bioswale!$C$13:$E$13,0))</f>
        <v>2882.6263259745137</v>
      </c>
      <c r="N66" s="9" t="s">
        <v>251</v>
      </c>
      <c r="O66" s="281">
        <f ca="1">INDEX(Bioswale!$C$24:$E$31,MATCH(O$3,Bioswale!$B$24:$B$31,FALSE),MATCH($D66,Bioswale!$C$23:$E$23,0))</f>
        <v>22412.533349210895</v>
      </c>
      <c r="P66" s="6">
        <f ca="1">INDEX(Bioswale!$C$24:$E$31,MATCH(P$3,Bioswale!$B$24:$B$31,FALSE),MATCH($D66,Bioswale!$C$23:$E$23,0))</f>
        <v>44396.999559259377</v>
      </c>
      <c r="Q66" s="6">
        <f ca="1">INDEX(Bioswale!$C$24:$E$31,MATCH(Q$3,Bioswale!$B$24:$B$31,FALSE),MATCH($D66,Bioswale!$C$23:$E$23,0))</f>
        <v>21058.858004404603</v>
      </c>
      <c r="R66" s="6">
        <f ca="1">INDEX(Bioswale!$C$24:$E$31,MATCH(R$3,Bioswale!$B$24:$B$31,FALSE),MATCH($D66,Bioswale!$C$23:$E$23,0))</f>
        <v>21939.369536390153</v>
      </c>
      <c r="S66" s="6">
        <f ca="1">INDEX(Bioswale!$C$24:$E$31,MATCH(S$3,Bioswale!$B$24:$B$31,FALSE),MATCH($D66,Bioswale!$C$23:$E$23,0))</f>
        <v>23389.126678458197</v>
      </c>
      <c r="T66" s="6">
        <f ca="1">INDEX(Bioswale!$C$24:$E$31,MATCH(T$3,Bioswale!$B$24:$B$31,FALSE),MATCH($D66,Bioswale!$C$23:$E$23,0))</f>
        <v>21975.267810420915</v>
      </c>
      <c r="U66" s="6">
        <f ca="1">INDEX(Bioswale!$C$24:$E$31,MATCH(U$3,Bioswale!$B$24:$B$31,FALSE),MATCH($D66,Bioswale!$C$23:$E$23,0))</f>
        <v>22656.362974828666</v>
      </c>
      <c r="V66" s="252">
        <f ca="1">INDEX(Bioswale!$C$24:$E$31,MATCH(V$3,Bioswale!$B$24:$B$31,FALSE),MATCH($D66,Bioswale!$C$23:$E$23,0))</f>
        <v>21883.757851767245</v>
      </c>
      <c r="W66" s="90">
        <f>W64</f>
        <v>20</v>
      </c>
      <c r="X66" s="89" t="s">
        <v>285</v>
      </c>
      <c r="Y66" s="281">
        <f ca="1">INDEX(Bioswale!$C$34:$E$41,MATCH(Y$3,Bioswale!$B$34:$B$41,FALSE),MATCH($D66,Bioswale!$C$33:$E$33,0))</f>
        <v>517.81114940972338</v>
      </c>
      <c r="Z66" s="6">
        <f ca="1">INDEX(Bioswale!$C$34:$E$41,MATCH(Z$3,Bioswale!$B$34:$B$41,FALSE),MATCH($D66,Bioswale!$C$33:$E$33,0))</f>
        <v>1025.7323888346825</v>
      </c>
      <c r="AA66" s="6">
        <f ca="1">INDEX(Bioswale!$C$34:$E$41,MATCH(AA$3,Bioswale!$B$34:$B$41,FALSE),MATCH($D66,Bioswale!$C$33:$E$33,0))</f>
        <v>486.53631870226889</v>
      </c>
      <c r="AB66" s="6">
        <f ca="1">INDEX(Bioswale!$C$34:$E$41,MATCH(AB$3,Bioswale!$B$34:$B$41,FALSE),MATCH($D66,Bioswale!$C$33:$E$33,0))</f>
        <v>506.87934201614195</v>
      </c>
      <c r="AC66" s="6">
        <f ca="1">INDEX(Bioswale!$C$34:$E$41,MATCH(AC$3,Bioswale!$B$34:$B$41,FALSE),MATCH($D66,Bioswale!$C$33:$E$33,0))</f>
        <v>540.37401218137961</v>
      </c>
      <c r="AD66" s="6">
        <f ca="1">INDEX(Bioswale!$C$34:$E$41,MATCH(AD$3,Bioswale!$B$34:$B$41,FALSE),MATCH($D66,Bioswale!$C$33:$E$33,0))</f>
        <v>507.70872289192539</v>
      </c>
      <c r="AE66" s="6">
        <f ca="1">INDEX(Bioswale!$C$34:$E$41,MATCH(AE$3,Bioswale!$B$34:$B$41,FALSE),MATCH($D66,Bioswale!$C$33:$E$33,0))</f>
        <v>523.44450181723812</v>
      </c>
      <c r="AF66" s="6">
        <f ca="1">INDEX(Bioswale!$C$34:$E$41,MATCH(AF$3,Bioswale!$B$34:$B$41,FALSE),MATCH($D66,Bioswale!$C$33:$E$33,0))</f>
        <v>505.59450955715471</v>
      </c>
      <c r="AG66" s="89" t="s">
        <v>285</v>
      </c>
      <c r="AH66" s="281">
        <f ca="1">INDEX(Bioswale!$C$44:$E$51,MATCH(AH$3,Bioswale!$B$44:$B$51,FALSE),MATCH($D66,Bioswale!$C$43:$E$43,0))</f>
        <v>800.44761961467486</v>
      </c>
      <c r="AI66" s="6">
        <f ca="1">INDEX(Bioswale!$C$44:$E$51,MATCH(AI$3,Bioswale!$B$44:$B$51,FALSE),MATCH($D66,Bioswale!$C$43:$E$43,0))</f>
        <v>1585.6071271164062</v>
      </c>
      <c r="AJ66" s="6">
        <f ca="1">INDEX(Bioswale!$C$44:$E$51,MATCH(AJ$3,Bioswale!$B$44:$B$51,FALSE),MATCH($D66,Bioswale!$C$43:$E$43,0))</f>
        <v>752.10207158587866</v>
      </c>
      <c r="AK66" s="6">
        <f ca="1">INDEX(Bioswale!$C$44:$E$51,MATCH(AK$3,Bioswale!$B$44:$B$51,FALSE),MATCH($D66,Bioswale!$C$43:$E$43,0))</f>
        <v>783.54891201393411</v>
      </c>
      <c r="AL66" s="6">
        <f ca="1">INDEX(Bioswale!$C$44:$E$51,MATCH(AL$3,Bioswale!$B$44:$B$51,FALSE),MATCH($D66,Bioswale!$C$43:$E$43,0))</f>
        <v>835.3259528020784</v>
      </c>
      <c r="AM66" s="6">
        <f ca="1">INDEX(Bioswale!$C$44:$E$51,MATCH(AM$3,Bioswale!$B$44:$B$51,FALSE),MATCH($D66,Bioswale!$C$43:$E$43,0))</f>
        <v>784.83099322931844</v>
      </c>
      <c r="AN66" s="6">
        <f ca="1">INDEX(Bioswale!$C$44:$E$51,MATCH(AN$3,Bioswale!$B$44:$B$51,FALSE),MATCH($D66,Bioswale!$C$43:$E$43,0))</f>
        <v>809.1558205295953</v>
      </c>
      <c r="AO66" s="6">
        <f ca="1">INDEX(Bioswale!$C$44:$E$51,MATCH(AO$3,Bioswale!$B$44:$B$51,FALSE),MATCH($D66,Bioswale!$C$43:$E$43,0))</f>
        <v>781.56278042025872</v>
      </c>
      <c r="AP66" s="89" t="s">
        <v>250</v>
      </c>
      <c r="AQ66" s="237"/>
      <c r="AR66" s="13"/>
    </row>
    <row r="67" spans="1:44">
      <c r="A67" s="313">
        <v>41</v>
      </c>
      <c r="B67" s="321" t="s">
        <v>407</v>
      </c>
      <c r="C67" s="94"/>
      <c r="D67" s="171" t="s">
        <v>207</v>
      </c>
      <c r="E67" s="36" t="str">
        <f>CONCATENATE(B67," ",D67)</f>
        <v>CSO Separation Low</v>
      </c>
      <c r="F67" s="88">
        <f t="shared" ref="F67:G69" si="57">CSO_Separation</f>
        <v>19647.955203976115</v>
      </c>
      <c r="G67" s="6">
        <f t="shared" si="57"/>
        <v>19647.955203976115</v>
      </c>
      <c r="H67" s="6" t="s">
        <v>118</v>
      </c>
      <c r="I67" s="6" t="s">
        <v>118</v>
      </c>
      <c r="J67" s="6" t="s">
        <v>118</v>
      </c>
      <c r="K67" s="6" t="s">
        <v>118</v>
      </c>
      <c r="L67" s="6" t="s">
        <v>118</v>
      </c>
      <c r="M67" s="6" t="s">
        <v>118</v>
      </c>
      <c r="N67" s="9" t="s">
        <v>250</v>
      </c>
      <c r="O67" s="88">
        <f>'CSO Separation'!B6</f>
        <v>208150.71732618634</v>
      </c>
      <c r="P67" s="6">
        <f>O67</f>
        <v>208150.71732618634</v>
      </c>
      <c r="Q67" s="6" t="s">
        <v>118</v>
      </c>
      <c r="R67" s="6" t="s">
        <v>118</v>
      </c>
      <c r="S67" s="6" t="s">
        <v>118</v>
      </c>
      <c r="T67" s="6" t="s">
        <v>118</v>
      </c>
      <c r="U67" s="6" t="s">
        <v>118</v>
      </c>
      <c r="V67" s="6" t="s">
        <v>118</v>
      </c>
      <c r="W67" s="90">
        <f>'CSO Separation'!B7</f>
        <v>20</v>
      </c>
      <c r="X67" s="89" t="s">
        <v>285</v>
      </c>
      <c r="Y67" s="230">
        <v>0</v>
      </c>
      <c r="Z67" s="6">
        <v>0</v>
      </c>
      <c r="AA67" s="6">
        <v>0</v>
      </c>
      <c r="AB67" s="6">
        <v>0</v>
      </c>
      <c r="AC67" s="6">
        <v>0</v>
      </c>
      <c r="AD67" s="6">
        <v>0</v>
      </c>
      <c r="AE67" s="6">
        <v>0</v>
      </c>
      <c r="AF67" s="6">
        <v>0</v>
      </c>
      <c r="AG67" s="89" t="s">
        <v>285</v>
      </c>
      <c r="AH67" s="230">
        <v>0</v>
      </c>
      <c r="AI67" s="6">
        <v>0</v>
      </c>
      <c r="AJ67" s="6">
        <v>0</v>
      </c>
      <c r="AK67" s="6">
        <v>0</v>
      </c>
      <c r="AL67" s="6">
        <v>0</v>
      </c>
      <c r="AM67" s="6">
        <v>0</v>
      </c>
      <c r="AN67" s="6">
        <v>0</v>
      </c>
      <c r="AO67" s="6">
        <v>0</v>
      </c>
      <c r="AP67" s="89" t="s">
        <v>250</v>
      </c>
      <c r="AQ67" s="93"/>
    </row>
    <row r="68" spans="1:44">
      <c r="A68" s="314"/>
      <c r="B68" s="322"/>
      <c r="C68" s="94"/>
      <c r="D68" s="171" t="s">
        <v>18</v>
      </c>
      <c r="E68" s="36" t="str">
        <f>CONCATENATE(B67," ",D68)</f>
        <v>CSO Separation Median</v>
      </c>
      <c r="F68" s="88">
        <f t="shared" si="57"/>
        <v>19647.955203976115</v>
      </c>
      <c r="G68" s="6">
        <f t="shared" si="57"/>
        <v>19647.955203976115</v>
      </c>
      <c r="H68" s="6" t="s">
        <v>118</v>
      </c>
      <c r="I68" s="6" t="s">
        <v>118</v>
      </c>
      <c r="J68" s="6" t="s">
        <v>118</v>
      </c>
      <c r="K68" s="6" t="s">
        <v>118</v>
      </c>
      <c r="L68" s="6" t="s">
        <v>118</v>
      </c>
      <c r="M68" s="6" t="s">
        <v>118</v>
      </c>
      <c r="N68" s="9" t="s">
        <v>250</v>
      </c>
      <c r="O68" s="88">
        <f>O67</f>
        <v>208150.71732618634</v>
      </c>
      <c r="P68" s="281">
        <f>P67</f>
        <v>208150.71732618634</v>
      </c>
      <c r="Q68" s="6" t="str">
        <f t="shared" ref="Q68:V68" si="58">Q67</f>
        <v>NA</v>
      </c>
      <c r="R68" s="6" t="str">
        <f t="shared" si="58"/>
        <v>NA</v>
      </c>
      <c r="S68" s="6" t="str">
        <f t="shared" si="58"/>
        <v>NA</v>
      </c>
      <c r="T68" s="6" t="str">
        <f t="shared" si="58"/>
        <v>NA</v>
      </c>
      <c r="U68" s="6" t="str">
        <f t="shared" si="58"/>
        <v>NA</v>
      </c>
      <c r="V68" s="6" t="str">
        <f t="shared" si="58"/>
        <v>NA</v>
      </c>
      <c r="W68" s="90">
        <f>W67</f>
        <v>20</v>
      </c>
      <c r="X68" s="89" t="s">
        <v>285</v>
      </c>
      <c r="Y68" s="230">
        <f>Y67</f>
        <v>0</v>
      </c>
      <c r="Z68" s="6">
        <f>Z67</f>
        <v>0</v>
      </c>
      <c r="AA68" s="6">
        <f t="shared" ref="AA68:AF68" si="59">AA67</f>
        <v>0</v>
      </c>
      <c r="AB68" s="6">
        <f t="shared" si="59"/>
        <v>0</v>
      </c>
      <c r="AC68" s="6">
        <f t="shared" si="59"/>
        <v>0</v>
      </c>
      <c r="AD68" s="6">
        <f t="shared" si="59"/>
        <v>0</v>
      </c>
      <c r="AE68" s="6">
        <f t="shared" si="59"/>
        <v>0</v>
      </c>
      <c r="AF68" s="6">
        <f t="shared" si="59"/>
        <v>0</v>
      </c>
      <c r="AG68" s="89" t="s">
        <v>285</v>
      </c>
      <c r="AH68" s="230">
        <f>AH67</f>
        <v>0</v>
      </c>
      <c r="AI68" s="230">
        <f t="shared" ref="AI68:AO68" si="60">AI67</f>
        <v>0</v>
      </c>
      <c r="AJ68" s="230">
        <f t="shared" si="60"/>
        <v>0</v>
      </c>
      <c r="AK68" s="230">
        <f t="shared" si="60"/>
        <v>0</v>
      </c>
      <c r="AL68" s="230">
        <f t="shared" si="60"/>
        <v>0</v>
      </c>
      <c r="AM68" s="230">
        <f t="shared" si="60"/>
        <v>0</v>
      </c>
      <c r="AN68" s="230">
        <f t="shared" si="60"/>
        <v>0</v>
      </c>
      <c r="AO68" s="230">
        <f t="shared" si="60"/>
        <v>0</v>
      </c>
      <c r="AP68" s="89" t="s">
        <v>250</v>
      </c>
      <c r="AQ68" s="93"/>
    </row>
    <row r="69" spans="1:44" ht="15.75" thickBot="1">
      <c r="A69" s="318"/>
      <c r="B69" s="323"/>
      <c r="C69" s="243"/>
      <c r="D69" s="100" t="s">
        <v>208</v>
      </c>
      <c r="E69" s="36" t="str">
        <f>CONCATENATE(B67," ",D69)</f>
        <v>CSO Separation High</v>
      </c>
      <c r="F69" s="98">
        <f t="shared" si="57"/>
        <v>19647.955203976115</v>
      </c>
      <c r="G69" s="6">
        <f t="shared" si="57"/>
        <v>19647.955203976115</v>
      </c>
      <c r="H69" s="6" t="s">
        <v>118</v>
      </c>
      <c r="I69" s="6" t="s">
        <v>118</v>
      </c>
      <c r="J69" s="6" t="s">
        <v>118</v>
      </c>
      <c r="K69" s="6" t="s">
        <v>118</v>
      </c>
      <c r="L69" s="6" t="s">
        <v>118</v>
      </c>
      <c r="M69" s="6" t="s">
        <v>118</v>
      </c>
      <c r="N69" s="233" t="s">
        <v>250</v>
      </c>
      <c r="O69" s="98">
        <f>O67</f>
        <v>208150.71732618634</v>
      </c>
      <c r="P69" s="312">
        <f>P67</f>
        <v>208150.71732618634</v>
      </c>
      <c r="Q69" s="99" t="str">
        <f t="shared" ref="Q69:V69" si="61">Q67</f>
        <v>NA</v>
      </c>
      <c r="R69" s="99" t="str">
        <f t="shared" si="61"/>
        <v>NA</v>
      </c>
      <c r="S69" s="99" t="str">
        <f t="shared" si="61"/>
        <v>NA</v>
      </c>
      <c r="T69" s="99" t="str">
        <f t="shared" si="61"/>
        <v>NA</v>
      </c>
      <c r="U69" s="99" t="str">
        <f t="shared" si="61"/>
        <v>NA</v>
      </c>
      <c r="V69" s="99" t="str">
        <f t="shared" si="61"/>
        <v>NA</v>
      </c>
      <c r="W69" s="101">
        <f>W67</f>
        <v>20</v>
      </c>
      <c r="X69" s="100" t="s">
        <v>285</v>
      </c>
      <c r="Y69" s="232">
        <f>Y67</f>
        <v>0</v>
      </c>
      <c r="Z69" s="99">
        <f>Z67</f>
        <v>0</v>
      </c>
      <c r="AA69" s="99">
        <f t="shared" ref="AA69:AF69" si="62">AA67</f>
        <v>0</v>
      </c>
      <c r="AB69" s="99">
        <f t="shared" si="62"/>
        <v>0</v>
      </c>
      <c r="AC69" s="99">
        <f t="shared" si="62"/>
        <v>0</v>
      </c>
      <c r="AD69" s="99">
        <f t="shared" si="62"/>
        <v>0</v>
      </c>
      <c r="AE69" s="99">
        <f t="shared" si="62"/>
        <v>0</v>
      </c>
      <c r="AF69" s="99">
        <f t="shared" si="62"/>
        <v>0</v>
      </c>
      <c r="AG69" s="100" t="s">
        <v>285</v>
      </c>
      <c r="AH69" s="232">
        <f>AH67</f>
        <v>0</v>
      </c>
      <c r="AI69" s="232">
        <f t="shared" ref="AI69:AO69" si="63">AI67</f>
        <v>0</v>
      </c>
      <c r="AJ69" s="232">
        <f t="shared" si="63"/>
        <v>0</v>
      </c>
      <c r="AK69" s="232">
        <f t="shared" si="63"/>
        <v>0</v>
      </c>
      <c r="AL69" s="232">
        <f t="shared" si="63"/>
        <v>0</v>
      </c>
      <c r="AM69" s="232">
        <f t="shared" si="63"/>
        <v>0</v>
      </c>
      <c r="AN69" s="232">
        <f t="shared" si="63"/>
        <v>0</v>
      </c>
      <c r="AO69" s="232">
        <f t="shared" si="63"/>
        <v>0</v>
      </c>
      <c r="AP69" s="100" t="s">
        <v>250</v>
      </c>
      <c r="AQ69" s="93"/>
    </row>
    <row r="71" spans="1:44">
      <c r="D71" s="103"/>
      <c r="F71" s="11"/>
    </row>
    <row r="72" spans="1:44">
      <c r="D72" s="103"/>
      <c r="F72" s="11"/>
      <c r="Q72" s="11"/>
    </row>
    <row r="73" spans="1:44">
      <c r="D73" s="103"/>
      <c r="F73" s="11"/>
      <c r="Q73" s="11"/>
    </row>
    <row r="74" spans="1:44">
      <c r="Q74" s="11"/>
    </row>
    <row r="83" spans="1:1">
      <c r="A83" s="3"/>
    </row>
    <row r="84" spans="1:1">
      <c r="A84" s="3"/>
    </row>
    <row r="85" spans="1:1">
      <c r="A85" s="3"/>
    </row>
    <row r="86" spans="1:1">
      <c r="A86" s="3"/>
    </row>
    <row r="87" spans="1:1">
      <c r="A87" s="3"/>
    </row>
    <row r="88" spans="1:1">
      <c r="A88" s="3"/>
    </row>
    <row r="89" spans="1:1">
      <c r="A89" s="3"/>
    </row>
    <row r="90" spans="1:1">
      <c r="A90" s="3"/>
    </row>
    <row r="91" spans="1:1">
      <c r="A91" s="3"/>
    </row>
    <row r="92" spans="1:1">
      <c r="A92" s="3"/>
    </row>
    <row r="93" spans="1:1">
      <c r="A93" s="3"/>
    </row>
    <row r="94" spans="1:1">
      <c r="A94" s="3"/>
    </row>
    <row r="95" spans="1:1">
      <c r="A95" s="3"/>
    </row>
  </sheetData>
  <mergeCells count="88">
    <mergeCell ref="AQ55:AQ57"/>
    <mergeCell ref="AQ52:AQ54"/>
    <mergeCell ref="AQ34:AQ36"/>
    <mergeCell ref="AQ40:AQ42"/>
    <mergeCell ref="AQ37:AQ39"/>
    <mergeCell ref="AQ43:AQ45"/>
    <mergeCell ref="AQ49:AQ51"/>
    <mergeCell ref="AQ16:AQ18"/>
    <mergeCell ref="AQ19:AQ21"/>
    <mergeCell ref="AQ22:AQ24"/>
    <mergeCell ref="AQ46:AQ48"/>
    <mergeCell ref="AQ7:AQ9"/>
    <mergeCell ref="AQ10:AQ12"/>
    <mergeCell ref="AQ25:AQ27"/>
    <mergeCell ref="AQ28:AQ30"/>
    <mergeCell ref="AQ31:AQ33"/>
    <mergeCell ref="A28:A30"/>
    <mergeCell ref="A25:A27"/>
    <mergeCell ref="A22:A24"/>
    <mergeCell ref="A19:A21"/>
    <mergeCell ref="A16:A18"/>
    <mergeCell ref="A43:A45"/>
    <mergeCell ref="A40:A42"/>
    <mergeCell ref="A37:A39"/>
    <mergeCell ref="A34:A36"/>
    <mergeCell ref="A31:A33"/>
    <mergeCell ref="A55:A57"/>
    <mergeCell ref="A52:A54"/>
    <mergeCell ref="B4:B6"/>
    <mergeCell ref="B55:B57"/>
    <mergeCell ref="B52:B54"/>
    <mergeCell ref="B16:B18"/>
    <mergeCell ref="B19:B21"/>
    <mergeCell ref="B7:B9"/>
    <mergeCell ref="B13:B15"/>
    <mergeCell ref="B10:B12"/>
    <mergeCell ref="B34:B36"/>
    <mergeCell ref="B31:B33"/>
    <mergeCell ref="B28:B30"/>
    <mergeCell ref="B25:B27"/>
    <mergeCell ref="A49:A51"/>
    <mergeCell ref="A46:A48"/>
    <mergeCell ref="A13:A15"/>
    <mergeCell ref="A10:A12"/>
    <mergeCell ref="A7:A9"/>
    <mergeCell ref="A4:A6"/>
    <mergeCell ref="AQ4:AQ6"/>
    <mergeCell ref="AQ13:AQ15"/>
    <mergeCell ref="AR10:AR12"/>
    <mergeCell ref="AR2:AR3"/>
    <mergeCell ref="A2:A3"/>
    <mergeCell ref="B2:B3"/>
    <mergeCell ref="AQ2:AQ3"/>
    <mergeCell ref="AH2:AP2"/>
    <mergeCell ref="O2:X2"/>
    <mergeCell ref="F2:N2"/>
    <mergeCell ref="AR7:AR9"/>
    <mergeCell ref="AR4:AR6"/>
    <mergeCell ref="Y2:AG2"/>
    <mergeCell ref="AR16:AR18"/>
    <mergeCell ref="AR13:AR15"/>
    <mergeCell ref="AR40:AR42"/>
    <mergeCell ref="AR37:AR39"/>
    <mergeCell ref="AR34:AR36"/>
    <mergeCell ref="AR31:AR33"/>
    <mergeCell ref="AR28:AR30"/>
    <mergeCell ref="A58:A60"/>
    <mergeCell ref="B58:B60"/>
    <mergeCell ref="AR25:AR27"/>
    <mergeCell ref="AR22:AR24"/>
    <mergeCell ref="AR19:AR21"/>
    <mergeCell ref="AR55:AR57"/>
    <mergeCell ref="AR52:AR54"/>
    <mergeCell ref="AR49:AR51"/>
    <mergeCell ref="AR46:AR48"/>
    <mergeCell ref="AR43:AR45"/>
    <mergeCell ref="B22:B24"/>
    <mergeCell ref="B49:B51"/>
    <mergeCell ref="B46:B48"/>
    <mergeCell ref="B43:B45"/>
    <mergeCell ref="B40:B42"/>
    <mergeCell ref="B37:B39"/>
    <mergeCell ref="A61:A63"/>
    <mergeCell ref="B61:B63"/>
    <mergeCell ref="A64:A66"/>
    <mergeCell ref="B64:B66"/>
    <mergeCell ref="A67:A69"/>
    <mergeCell ref="B67:B69"/>
  </mergeCells>
  <pageMargins left="0.7" right="0.7" top="0.75" bottom="0.75" header="0.3" footer="0.3"/>
  <pageSetup orientation="portrait" horizontalDpi="300" verticalDpi="300" r:id="rId1"/>
</worksheet>
</file>

<file path=xl/worksheets/sheet20.xml><?xml version="1.0" encoding="utf-8"?>
<worksheet xmlns="http://schemas.openxmlformats.org/spreadsheetml/2006/main" xmlns:r="http://schemas.openxmlformats.org/officeDocument/2006/relationships">
  <dimension ref="A1:B54"/>
  <sheetViews>
    <sheetView zoomScale="85" zoomScaleNormal="85" workbookViewId="0">
      <selection activeCell="B16" sqref="B16"/>
    </sheetView>
  </sheetViews>
  <sheetFormatPr defaultRowHeight="15"/>
  <cols>
    <col min="1" max="1" width="39.42578125" bestFit="1" customWidth="1"/>
    <col min="2" max="2" width="19.5703125" bestFit="1" customWidth="1"/>
  </cols>
  <sheetData>
    <row r="1" spans="1:2" ht="63.75" customHeight="1" thickBot="1">
      <c r="A1" s="460" t="s">
        <v>474</v>
      </c>
      <c r="B1" s="460"/>
    </row>
    <row r="2" spans="1:2" ht="15.75" thickBot="1">
      <c r="A2" s="394" t="s">
        <v>473</v>
      </c>
      <c r="B2" s="395"/>
    </row>
    <row r="3" spans="1:2">
      <c r="A3" s="120" t="s">
        <v>52</v>
      </c>
      <c r="B3" s="121"/>
    </row>
    <row r="4" spans="1:2">
      <c r="A4" s="105" t="s">
        <v>239</v>
      </c>
      <c r="B4" s="106">
        <f>B5*Pre_Construction_Cost_2</f>
        <v>4000</v>
      </c>
    </row>
    <row r="5" spans="1:2">
      <c r="A5" s="105" t="s">
        <v>240</v>
      </c>
      <c r="B5" s="106">
        <v>20000</v>
      </c>
    </row>
    <row r="6" spans="1:2">
      <c r="A6" s="105" t="s">
        <v>182</v>
      </c>
      <c r="B6" s="109">
        <v>0.04</v>
      </c>
    </row>
    <row r="7" spans="1:2">
      <c r="A7" s="105" t="s">
        <v>151</v>
      </c>
      <c r="B7" s="106">
        <v>200</v>
      </c>
    </row>
    <row r="8" spans="1:2">
      <c r="A8" s="105" t="s">
        <v>153</v>
      </c>
      <c r="B8" s="106">
        <f>B5*OM_Intermittent_Med</f>
        <v>400</v>
      </c>
    </row>
    <row r="9" spans="1:2">
      <c r="A9" s="105" t="s">
        <v>243</v>
      </c>
      <c r="B9" s="106">
        <f>SUM(B7:B8)</f>
        <v>600</v>
      </c>
    </row>
    <row r="10" spans="1:2">
      <c r="A10" s="105" t="s">
        <v>177</v>
      </c>
      <c r="B10" s="261"/>
    </row>
    <row r="11" spans="1:2">
      <c r="A11" s="410"/>
      <c r="B11" s="408"/>
    </row>
    <row r="12" spans="1:2">
      <c r="A12" s="7" t="s">
        <v>405</v>
      </c>
      <c r="B12" s="96">
        <v>20</v>
      </c>
    </row>
    <row r="13" spans="1:2">
      <c r="A13" s="410"/>
      <c r="B13" s="408"/>
    </row>
    <row r="14" spans="1:2">
      <c r="A14" s="110" t="s">
        <v>241</v>
      </c>
      <c r="B14" s="111"/>
    </row>
    <row r="15" spans="1:2">
      <c r="A15" s="105" t="s">
        <v>57</v>
      </c>
      <c r="B15" s="112">
        <f>(-PMT(Annual_rate,B$12,(B$4+B$5))+Land_Cost_Watershed*Project_Acres_Developable*B$6*Annual_rate+B$9)*Watershed_Impervious</f>
        <v>778.1226377847405</v>
      </c>
    </row>
    <row r="16" spans="1:2">
      <c r="A16" s="147" t="s">
        <v>266</v>
      </c>
      <c r="B16" s="112">
        <f>(-PMT(Annual_rate,B$12,(B$4+B$5))+Land_Cost_Watershed*Project_Acres_Developable*B$6*Annual_rate+B$9)*DC_Impervious</f>
        <v>1541.3835584095261</v>
      </c>
    </row>
    <row r="17" spans="1:2">
      <c r="A17" s="147" t="s">
        <v>267</v>
      </c>
      <c r="B17" s="112">
        <f>(-PMT(Annual_rate,B$12,(B$4+B$5))+Land_Cost_Watershed*Project_Acres_Developable*B$6*Annual_rate+B$9)*DE_Impervious</f>
        <v>731.12547715176254</v>
      </c>
    </row>
    <row r="18" spans="1:2">
      <c r="A18" s="147" t="s">
        <v>268</v>
      </c>
      <c r="B18" s="112">
        <f>(-PMT(Annual_rate,B$12,(B$4+B$5))+Land_Cost_Watershed*Project_Acres_Developable*B$6*Annual_rate+B$9)*MD_Impervious</f>
        <v>761.69524564661242</v>
      </c>
    </row>
    <row r="19" spans="1:2" ht="14.25" customHeight="1">
      <c r="A19" s="147" t="s">
        <v>269</v>
      </c>
      <c r="B19" s="112">
        <f>(-PMT(Annual_rate,B$12,(B$4+B$5))+Land_Cost_Watershed*Project_Acres_Developable*B$6*Annual_rate+B$9)*NY_Impervious</f>
        <v>812.02819257217584</v>
      </c>
    </row>
    <row r="20" spans="1:2">
      <c r="A20" s="147" t="s">
        <v>270</v>
      </c>
      <c r="B20" s="112">
        <f>(-PMT(Annual_rate,B$12,(B$4+B$5))+Land_Cost_Watershed*Project_Acres_Developable*B$6*Annual_rate+B$9)*PA_Impervious</f>
        <v>762.94156881970071</v>
      </c>
    </row>
    <row r="21" spans="1:2">
      <c r="A21" s="147" t="s">
        <v>271</v>
      </c>
      <c r="B21" s="112">
        <f>(-PMT(Annual_rate,B$12,(B$4+B$5))+Land_Cost_Watershed*Project_Acres_Developable*B$6*Annual_rate+B$9)*VA_Impervious</f>
        <v>786.58796156137851</v>
      </c>
    </row>
    <row r="22" spans="1:2">
      <c r="A22" s="147" t="s">
        <v>272</v>
      </c>
      <c r="B22" s="112">
        <f>(-PMT(Annual_rate,B$12,(B$4+B$5))+Land_Cost_Watershed*Project_Acres_Developable*B$6*Annual_rate+B$9)*WV_Impervious</f>
        <v>759.7645084980627</v>
      </c>
    </row>
    <row r="23" spans="1:2">
      <c r="A23" s="193"/>
      <c r="B23" s="310"/>
    </row>
    <row r="24" spans="1:2">
      <c r="A24" s="110" t="s">
        <v>288</v>
      </c>
      <c r="B24" s="111"/>
    </row>
    <row r="25" spans="1:2">
      <c r="A25" s="105" t="s">
        <v>57</v>
      </c>
      <c r="B25" s="112">
        <f ca="1">(B$4+B$5)*INDIRECT(CONCATENATE(A25,"_Impervious"))</f>
        <v>6213.7337929166806</v>
      </c>
    </row>
    <row r="26" spans="1:2">
      <c r="A26" s="147" t="s">
        <v>266</v>
      </c>
      <c r="B26" s="112">
        <f t="shared" ref="B26:B32" ca="1" si="0">(B$4+B$5)*INDIRECT(CONCATENATE(A26,"_Impervious"))</f>
        <v>12308.788666016191</v>
      </c>
    </row>
    <row r="27" spans="1:2">
      <c r="A27" s="147" t="s">
        <v>267</v>
      </c>
      <c r="B27" s="112">
        <f t="shared" ca="1" si="0"/>
        <v>5838.4358244272262</v>
      </c>
    </row>
    <row r="28" spans="1:2">
      <c r="A28" s="147" t="s">
        <v>268</v>
      </c>
      <c r="B28" s="112">
        <f t="shared" ca="1" si="0"/>
        <v>6082.5521041937036</v>
      </c>
    </row>
    <row r="29" spans="1:2" ht="14.25" customHeight="1">
      <c r="A29" s="147" t="s">
        <v>269</v>
      </c>
      <c r="B29" s="112">
        <f t="shared" ca="1" si="0"/>
        <v>6484.4881461765553</v>
      </c>
    </row>
    <row r="30" spans="1:2">
      <c r="A30" s="147" t="s">
        <v>270</v>
      </c>
      <c r="B30" s="112">
        <f t="shared" ca="1" si="0"/>
        <v>6092.5046747031047</v>
      </c>
    </row>
    <row r="31" spans="1:2">
      <c r="A31" s="147" t="s">
        <v>271</v>
      </c>
      <c r="B31" s="112">
        <f t="shared" ca="1" si="0"/>
        <v>6281.334021806857</v>
      </c>
    </row>
    <row r="32" spans="1:2">
      <c r="A32" s="147" t="s">
        <v>272</v>
      </c>
      <c r="B32" s="112">
        <f t="shared" ca="1" si="0"/>
        <v>6067.1341146858558</v>
      </c>
    </row>
    <row r="33" spans="1:2">
      <c r="A33" s="193"/>
      <c r="B33" s="310"/>
    </row>
    <row r="34" spans="1:2">
      <c r="A34" s="110" t="s">
        <v>475</v>
      </c>
      <c r="B34" s="111"/>
    </row>
    <row r="35" spans="1:2">
      <c r="A35" s="105" t="s">
        <v>57</v>
      </c>
      <c r="B35" s="112">
        <f t="shared" ref="B35:B42" ca="1" si="1">(INDIRECT(CONCATENATE("Land_Cost_",A35))*Project_Acres_Developable*B$6)*INDIRECT(CONCATENATE(A35,"_Impervious"))</f>
        <v>517.81114940972338</v>
      </c>
    </row>
    <row r="36" spans="1:2">
      <c r="A36" s="147" t="s">
        <v>266</v>
      </c>
      <c r="B36" s="112">
        <f t="shared" ca="1" si="1"/>
        <v>1025.7323888346825</v>
      </c>
    </row>
    <row r="37" spans="1:2">
      <c r="A37" s="147" t="s">
        <v>267</v>
      </c>
      <c r="B37" s="112">
        <f t="shared" ca="1" si="1"/>
        <v>486.53631870226889</v>
      </c>
    </row>
    <row r="38" spans="1:2">
      <c r="A38" s="147" t="s">
        <v>268</v>
      </c>
      <c r="B38" s="112">
        <f t="shared" ca="1" si="1"/>
        <v>506.87934201614195</v>
      </c>
    </row>
    <row r="39" spans="1:2" ht="14.25" customHeight="1">
      <c r="A39" s="147" t="s">
        <v>269</v>
      </c>
      <c r="B39" s="112">
        <f t="shared" ca="1" si="1"/>
        <v>540.37401218137961</v>
      </c>
    </row>
    <row r="40" spans="1:2">
      <c r="A40" s="147" t="s">
        <v>270</v>
      </c>
      <c r="B40" s="112">
        <f t="shared" ca="1" si="1"/>
        <v>507.70872289192539</v>
      </c>
    </row>
    <row r="41" spans="1:2">
      <c r="A41" s="147" t="s">
        <v>271</v>
      </c>
      <c r="B41" s="112">
        <f t="shared" ca="1" si="1"/>
        <v>523.44450181723812</v>
      </c>
    </row>
    <row r="42" spans="1:2">
      <c r="A42" s="147" t="s">
        <v>272</v>
      </c>
      <c r="B42" s="112">
        <f t="shared" ca="1" si="1"/>
        <v>505.59450955715471</v>
      </c>
    </row>
    <row r="43" spans="1:2">
      <c r="A43" s="193"/>
      <c r="B43" s="310"/>
    </row>
    <row r="44" spans="1:2">
      <c r="A44" s="110" t="s">
        <v>483</v>
      </c>
      <c r="B44" s="111"/>
    </row>
    <row r="45" spans="1:2">
      <c r="A45" s="105" t="s">
        <v>57</v>
      </c>
      <c r="B45" s="112">
        <f ca="1">(B$9)*INDIRECT(CONCATENATE(A45,"_Impervious"))</f>
        <v>155.343344822917</v>
      </c>
    </row>
    <row r="46" spans="1:2">
      <c r="A46" s="147" t="s">
        <v>266</v>
      </c>
      <c r="B46" s="112">
        <f t="shared" ref="B46:B52" ca="1" si="2">(B$9)*INDIRECT(CONCATENATE(A46,"_Impervious"))</f>
        <v>307.71971665040473</v>
      </c>
    </row>
    <row r="47" spans="1:2">
      <c r="A47" s="147" t="s">
        <v>267</v>
      </c>
      <c r="B47" s="112">
        <f t="shared" ca="1" si="2"/>
        <v>145.96089561068067</v>
      </c>
    </row>
    <row r="48" spans="1:2">
      <c r="A48" s="147" t="s">
        <v>268</v>
      </c>
      <c r="B48" s="112">
        <f t="shared" ca="1" si="2"/>
        <v>152.06380260484258</v>
      </c>
    </row>
    <row r="49" spans="1:2" ht="14.25" customHeight="1">
      <c r="A49" s="147" t="s">
        <v>269</v>
      </c>
      <c r="B49" s="112">
        <f t="shared" ca="1" si="2"/>
        <v>162.11220365441389</v>
      </c>
    </row>
    <row r="50" spans="1:2">
      <c r="A50" s="147" t="s">
        <v>270</v>
      </c>
      <c r="B50" s="112">
        <f t="shared" ca="1" si="2"/>
        <v>152.31261686757762</v>
      </c>
    </row>
    <row r="51" spans="1:2">
      <c r="A51" s="147" t="s">
        <v>271</v>
      </c>
      <c r="B51" s="112">
        <f t="shared" ca="1" si="2"/>
        <v>157.03335054517143</v>
      </c>
    </row>
    <row r="52" spans="1:2">
      <c r="A52" s="147" t="s">
        <v>272</v>
      </c>
      <c r="B52" s="112">
        <f t="shared" ca="1" si="2"/>
        <v>151.6783528671464</v>
      </c>
    </row>
    <row r="53" spans="1:2">
      <c r="A53" s="193"/>
      <c r="B53" s="310"/>
    </row>
    <row r="54" spans="1:2">
      <c r="A54" s="518" t="s">
        <v>242</v>
      </c>
      <c r="B54" s="519"/>
    </row>
  </sheetData>
  <mergeCells count="5">
    <mergeCell ref="A54:B54"/>
    <mergeCell ref="A2:B2"/>
    <mergeCell ref="A1:B1"/>
    <mergeCell ref="A11:B11"/>
    <mergeCell ref="A13:B13"/>
  </mergeCells>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12"/>
  <dimension ref="A1:P93"/>
  <sheetViews>
    <sheetView topLeftCell="B2" zoomScale="85" zoomScaleNormal="85" workbookViewId="0">
      <selection activeCell="B25" sqref="B25"/>
    </sheetView>
  </sheetViews>
  <sheetFormatPr defaultColWidth="9.140625" defaultRowHeight="12"/>
  <cols>
    <col min="1" max="1" width="11.42578125" style="22" hidden="1" customWidth="1"/>
    <col min="2" max="2" width="54.140625" style="22" bestFit="1" customWidth="1"/>
    <col min="3" max="11" width="11.140625" style="22" customWidth="1"/>
    <col min="12" max="12" width="22.5703125" style="22" bestFit="1" customWidth="1"/>
    <col min="13" max="13" width="14" style="22" bestFit="1" customWidth="1"/>
    <col min="14" max="14" width="15.42578125" style="22" bestFit="1" customWidth="1"/>
    <col min="15" max="15" width="10.5703125" style="22" bestFit="1" customWidth="1"/>
    <col min="16" max="16" width="18" style="22" bestFit="1" customWidth="1"/>
    <col min="17" max="16384" width="9.140625" style="22"/>
  </cols>
  <sheetData>
    <row r="1" spans="1:11" ht="45.75" customHeight="1" thickBot="1">
      <c r="B1" s="520" t="s">
        <v>410</v>
      </c>
      <c r="C1" s="520"/>
      <c r="D1" s="520"/>
      <c r="E1" s="520"/>
      <c r="F1" s="520"/>
      <c r="G1" s="520"/>
      <c r="H1" s="520"/>
      <c r="I1" s="520"/>
      <c r="J1" s="520"/>
      <c r="K1" s="520"/>
    </row>
    <row r="2" spans="1:11" s="3" customFormat="1" ht="15">
      <c r="B2" s="338" t="s">
        <v>408</v>
      </c>
      <c r="C2" s="336"/>
      <c r="D2" s="336"/>
      <c r="E2" s="336"/>
      <c r="F2" s="336"/>
      <c r="G2" s="336"/>
      <c r="H2" s="336"/>
      <c r="I2" s="336"/>
      <c r="J2" s="336"/>
      <c r="K2" s="337"/>
    </row>
    <row r="3" spans="1:11" s="3" customFormat="1" ht="15">
      <c r="B3" s="4" t="s">
        <v>405</v>
      </c>
      <c r="C3" s="5">
        <v>20</v>
      </c>
      <c r="D3" s="374"/>
      <c r="E3" s="374"/>
      <c r="F3" s="374"/>
      <c r="G3" s="374"/>
      <c r="H3" s="374"/>
      <c r="I3" s="374"/>
      <c r="J3" s="374"/>
      <c r="K3" s="375"/>
    </row>
    <row r="4" spans="1:11" s="3" customFormat="1" ht="15" hidden="1">
      <c r="B4" s="4" t="s">
        <v>409</v>
      </c>
      <c r="C4" s="5" t="s">
        <v>255</v>
      </c>
      <c r="D4" s="239"/>
      <c r="E4" s="239"/>
      <c r="F4" s="239"/>
      <c r="G4" s="239"/>
      <c r="H4" s="239"/>
      <c r="I4" s="239"/>
      <c r="J4" s="239"/>
      <c r="K4" s="240"/>
    </row>
    <row r="5" spans="1:11" s="3" customFormat="1" ht="15">
      <c r="B5" s="383"/>
      <c r="C5" s="376" t="s">
        <v>175</v>
      </c>
      <c r="D5" s="376"/>
      <c r="E5" s="376"/>
      <c r="F5" s="376" t="s">
        <v>176</v>
      </c>
      <c r="G5" s="376"/>
      <c r="H5" s="376"/>
      <c r="I5" s="328" t="s">
        <v>19</v>
      </c>
      <c r="J5" s="328"/>
      <c r="K5" s="386"/>
    </row>
    <row r="6" spans="1:11" s="3" customFormat="1" ht="15">
      <c r="B6" s="383"/>
      <c r="C6" s="18" t="s">
        <v>252</v>
      </c>
      <c r="D6" s="18" t="s">
        <v>18</v>
      </c>
      <c r="E6" s="18" t="s">
        <v>253</v>
      </c>
      <c r="F6" s="18" t="s">
        <v>252</v>
      </c>
      <c r="G6" s="18" t="s">
        <v>18</v>
      </c>
      <c r="H6" s="18" t="s">
        <v>253</v>
      </c>
      <c r="I6" s="18" t="s">
        <v>252</v>
      </c>
      <c r="J6" s="18" t="s">
        <v>18</v>
      </c>
      <c r="K6" s="19" t="s">
        <v>253</v>
      </c>
    </row>
    <row r="7" spans="1:11" s="3" customFormat="1" ht="17.25">
      <c r="B7" s="7" t="s">
        <v>265</v>
      </c>
      <c r="C7" s="6">
        <v>19900</v>
      </c>
      <c r="D7" s="6">
        <v>25400</v>
      </c>
      <c r="E7" s="6">
        <v>41750</v>
      </c>
      <c r="F7" s="6">
        <f>AVERAGE(58000,3*FEET_IMPAC,7.5*FEET_IMPAC,5.5*FEET_IMPAC)</f>
        <v>29020</v>
      </c>
      <c r="G7" s="6">
        <f>AVERAGE(88000,4*FEET_IMPAC,10.5*FEET_IMPAC,7*FEET_IMPAC)</f>
        <v>41511.25</v>
      </c>
      <c r="H7" s="6">
        <f>AVERAGE(150000,5*FEET_IMPAC,17.75*FEET_IMPAC,10.5*FEET_IMPAC)</f>
        <v>67674.375</v>
      </c>
      <c r="I7" s="6">
        <f t="shared" ref="I7:K8" si="0">AVERAGE(C7,F7)</f>
        <v>24460</v>
      </c>
      <c r="J7" s="6">
        <f t="shared" si="0"/>
        <v>33455.625</v>
      </c>
      <c r="K7" s="8">
        <f t="shared" si="0"/>
        <v>54712.1875</v>
      </c>
    </row>
    <row r="8" spans="1:11" s="3" customFormat="1" ht="15">
      <c r="B8" s="7" t="s">
        <v>258</v>
      </c>
      <c r="C8" s="6">
        <f t="shared" ref="C8:H8" si="1">C7*CCI_2006</f>
        <v>22598.348600180623</v>
      </c>
      <c r="D8" s="6">
        <f t="shared" si="1"/>
        <v>28844.123338924011</v>
      </c>
      <c r="E8" s="6">
        <f t="shared" si="1"/>
        <v>47411.108244097537</v>
      </c>
      <c r="F8" s="6">
        <f t="shared" si="1"/>
        <v>32954.978712424207</v>
      </c>
      <c r="G8" s="6">
        <f t="shared" si="1"/>
        <v>47139.984840665726</v>
      </c>
      <c r="H8" s="6">
        <f t="shared" si="1"/>
        <v>76850.709424590386</v>
      </c>
      <c r="I8" s="6">
        <f t="shared" si="0"/>
        <v>27776.663656302415</v>
      </c>
      <c r="J8" s="6">
        <f t="shared" si="0"/>
        <v>37992.054089794867</v>
      </c>
      <c r="K8" s="8">
        <f t="shared" si="0"/>
        <v>62130.908834343965</v>
      </c>
    </row>
    <row r="9" spans="1:11" s="3" customFormat="1" ht="15">
      <c r="B9" s="7" t="s">
        <v>262</v>
      </c>
      <c r="C9" s="6">
        <f>C8*LOW_DE</f>
        <v>1129.9174300090312</v>
      </c>
      <c r="D9" s="6">
        <f>D8*MID_DE</f>
        <v>6489.9277512579038</v>
      </c>
      <c r="E9" s="6">
        <f>E8*HIGH_DE</f>
        <v>18964.443297639016</v>
      </c>
      <c r="F9" s="6">
        <f>F8*LOW_DE</f>
        <v>1647.7489356212104</v>
      </c>
      <c r="G9" s="6">
        <f>G8*MID_DE</f>
        <v>10606.49658914979</v>
      </c>
      <c r="H9" s="6">
        <f>H8*HIGH_DE</f>
        <v>30740.283769836155</v>
      </c>
      <c r="I9" s="6">
        <f>I8*LOW_DE</f>
        <v>1388.8331828151208</v>
      </c>
      <c r="J9" s="6">
        <f>J8*MID_DE</f>
        <v>8548.2121702038457</v>
      </c>
      <c r="K9" s="8">
        <f>K8*HIGH_DE</f>
        <v>24852.363533737589</v>
      </c>
    </row>
    <row r="10" spans="1:11" s="3" customFormat="1" ht="15">
      <c r="B10" s="7" t="s">
        <v>412</v>
      </c>
      <c r="C10" s="45">
        <v>0.06</v>
      </c>
      <c r="D10" s="45">
        <v>0.06</v>
      </c>
      <c r="E10" s="45">
        <v>0.06</v>
      </c>
      <c r="F10" s="45">
        <v>0.06</v>
      </c>
      <c r="G10" s="45">
        <v>0.06</v>
      </c>
      <c r="H10" s="45">
        <v>0.06</v>
      </c>
      <c r="I10" s="45">
        <v>0.06</v>
      </c>
      <c r="J10" s="45">
        <v>0.06</v>
      </c>
      <c r="K10" s="45">
        <v>0.06</v>
      </c>
    </row>
    <row r="11" spans="1:11" s="3" customFormat="1" ht="15">
      <c r="B11" s="7" t="s">
        <v>263</v>
      </c>
      <c r="C11" s="6">
        <f>C8*LOW_OM</f>
        <v>1129.9174300090312</v>
      </c>
      <c r="D11" s="6">
        <f>D8*MED_OM</f>
        <v>1442.2061669462007</v>
      </c>
      <c r="E11" s="6">
        <f>E8*HIGH_OM</f>
        <v>2370.555412204877</v>
      </c>
      <c r="F11" s="6">
        <f>F8*LOW_OM</f>
        <v>1647.7489356212104</v>
      </c>
      <c r="G11" s="6">
        <f>G8*MED_OM</f>
        <v>2356.9992420332865</v>
      </c>
      <c r="H11" s="6">
        <f>H8*HIGH_OM</f>
        <v>3842.5354712295193</v>
      </c>
      <c r="I11" s="6">
        <f>I8*LOW_OM</f>
        <v>1388.8331828151208</v>
      </c>
      <c r="J11" s="6">
        <f>J8*MED_OM</f>
        <v>1899.6027044897435</v>
      </c>
      <c r="K11" s="8">
        <f>K8*HIGH_OM</f>
        <v>3106.5454417171986</v>
      </c>
    </row>
    <row r="12" spans="1:11" s="3" customFormat="1" ht="15">
      <c r="B12" s="383"/>
      <c r="C12" s="384"/>
      <c r="D12" s="384"/>
      <c r="E12" s="384"/>
      <c r="F12" s="384"/>
      <c r="G12" s="384"/>
      <c r="H12" s="384"/>
      <c r="I12" s="384"/>
      <c r="J12" s="384"/>
      <c r="K12" s="385"/>
    </row>
    <row r="13" spans="1:11" s="3" customFormat="1" ht="15">
      <c r="B13" s="4" t="s">
        <v>241</v>
      </c>
      <c r="C13" s="20" t="s">
        <v>207</v>
      </c>
      <c r="D13" s="20" t="s">
        <v>18</v>
      </c>
      <c r="E13" s="20" t="s">
        <v>208</v>
      </c>
      <c r="F13" s="35"/>
      <c r="G13" s="36"/>
      <c r="H13" s="36"/>
      <c r="I13" s="36"/>
      <c r="J13" s="36"/>
      <c r="K13" s="37"/>
    </row>
    <row r="14" spans="1:11" s="3" customFormat="1" ht="15">
      <c r="A14" s="9" t="s">
        <v>57</v>
      </c>
      <c r="B14" s="7" t="s">
        <v>57</v>
      </c>
      <c r="C14" s="10">
        <f ca="1">(-PMT(Annual_rate,$C$3,I$8+I$9)+INDIRECT(CONCATENATE("land_cost_",$A14))*Project_Acres_Developable*Annual_rate*I$10+I$11)*INDIRECT(CONCATENATE($A14,"_IMPERVIOUS"))</f>
        <v>1126.7181631977053</v>
      </c>
      <c r="D14" s="10">
        <f t="shared" ref="C14:E21" ca="1" si="2">(-PMT(Annual_rate,$C$3,J$8+J$9)+INDIRECT(CONCATENATE("land_cost_",$A14))*Project_Acres_Developable*Annual_rate*J$10+J$11)*INDIRECT(CONCATENATE($A14,"_IMPERVIOUS"))</f>
        <v>1683.5787048566096</v>
      </c>
      <c r="E14" s="10">
        <f t="shared" ca="1" si="2"/>
        <v>2984.4436572807504</v>
      </c>
      <c r="F14" s="285" t="str">
        <f t="shared" ref="F14:H21" ca="1" si="3">IF((-PMT(Annual_rate,$C$3,C24)+Annual_rate*C34+C44)=C14,"","Check")</f>
        <v/>
      </c>
      <c r="G14" s="287" t="str">
        <f t="shared" ca="1" si="3"/>
        <v/>
      </c>
      <c r="H14" s="287" t="str">
        <f t="shared" ca="1" si="3"/>
        <v/>
      </c>
      <c r="I14" s="12"/>
      <c r="J14" s="12"/>
      <c r="K14" s="39"/>
    </row>
    <row r="15" spans="1:11" s="3" customFormat="1" ht="15">
      <c r="A15" s="9" t="s">
        <v>266</v>
      </c>
      <c r="B15" s="9" t="s">
        <v>266</v>
      </c>
      <c r="C15" s="10">
        <f t="shared" ca="1" si="2"/>
        <v>2231.916625197538</v>
      </c>
      <c r="D15" s="10">
        <f t="shared" ca="1" si="2"/>
        <v>3335.0019764779977</v>
      </c>
      <c r="E15" s="10">
        <f t="shared" ca="1" si="2"/>
        <v>5911.8860716204135</v>
      </c>
      <c r="F15" s="285" t="str">
        <f t="shared" ca="1" si="3"/>
        <v/>
      </c>
      <c r="G15" s="287" t="str">
        <f t="shared" ca="1" si="3"/>
        <v/>
      </c>
      <c r="H15" s="287" t="str">
        <f t="shared" ca="1" si="3"/>
        <v/>
      </c>
      <c r="I15" s="12"/>
      <c r="J15" s="12"/>
      <c r="K15" s="39"/>
    </row>
    <row r="16" spans="1:11" s="3" customFormat="1" ht="15">
      <c r="A16" s="9" t="s">
        <v>267</v>
      </c>
      <c r="B16" s="9" t="s">
        <v>267</v>
      </c>
      <c r="C16" s="10">
        <f t="shared" ca="1" si="2"/>
        <v>1058.6664809402034</v>
      </c>
      <c r="D16" s="10">
        <f t="shared" ca="1" si="2"/>
        <v>1581.8936812006141</v>
      </c>
      <c r="E16" s="10">
        <f t="shared" ca="1" si="2"/>
        <v>2804.1888090724951</v>
      </c>
      <c r="F16" s="285" t="str">
        <f t="shared" ca="1" si="3"/>
        <v/>
      </c>
      <c r="G16" s="287" t="str">
        <f t="shared" ca="1" si="3"/>
        <v/>
      </c>
      <c r="H16" s="287" t="str">
        <f t="shared" ca="1" si="3"/>
        <v/>
      </c>
      <c r="I16" s="12"/>
      <c r="J16" s="12"/>
      <c r="K16" s="39"/>
    </row>
    <row r="17" spans="1:11" s="3" customFormat="1" ht="15">
      <c r="A17" s="9" t="s">
        <v>268</v>
      </c>
      <c r="B17" s="9" t="s">
        <v>268</v>
      </c>
      <c r="C17" s="10">
        <f t="shared" ca="1" si="2"/>
        <v>1102.9313715054677</v>
      </c>
      <c r="D17" s="10">
        <f t="shared" ca="1" si="2"/>
        <v>1648.0357117124722</v>
      </c>
      <c r="E17" s="10">
        <f t="shared" ca="1" si="2"/>
        <v>2921.4373599548235</v>
      </c>
      <c r="F17" s="285" t="str">
        <f t="shared" ca="1" si="3"/>
        <v/>
      </c>
      <c r="G17" s="287" t="str">
        <f t="shared" ca="1" si="3"/>
        <v/>
      </c>
      <c r="H17" s="287" t="str">
        <f t="shared" ca="1" si="3"/>
        <v/>
      </c>
      <c r="I17" s="12"/>
      <c r="J17" s="12"/>
      <c r="K17" s="39"/>
    </row>
    <row r="18" spans="1:11" s="3" customFormat="1" ht="15">
      <c r="A18" s="9" t="s">
        <v>269</v>
      </c>
      <c r="B18" s="9" t="s">
        <v>269</v>
      </c>
      <c r="C18" s="10">
        <f t="shared" ca="1" si="2"/>
        <v>1175.8132576690043</v>
      </c>
      <c r="D18" s="10">
        <f t="shared" ca="1" si="2"/>
        <v>1756.9381821993913</v>
      </c>
      <c r="E18" s="10">
        <f t="shared" ca="1" si="2"/>
        <v>3114.4864204883916</v>
      </c>
      <c r="F18" s="285" t="str">
        <f t="shared" ca="1" si="3"/>
        <v/>
      </c>
      <c r="G18" s="287" t="str">
        <f t="shared" ca="1" si="3"/>
        <v/>
      </c>
      <c r="H18" s="287" t="str">
        <f t="shared" ca="1" si="3"/>
        <v/>
      </c>
      <c r="I18" s="12"/>
      <c r="J18" s="12"/>
      <c r="K18" s="39"/>
    </row>
    <row r="19" spans="1:11" s="3" customFormat="1" ht="15">
      <c r="A19" s="9" t="s">
        <v>270</v>
      </c>
      <c r="B19" s="9" t="s">
        <v>270</v>
      </c>
      <c r="C19" s="10">
        <f t="shared" ca="1" si="2"/>
        <v>1104.7360419881702</v>
      </c>
      <c r="D19" s="10">
        <f t="shared" ca="1" si="2"/>
        <v>1650.7323086904942</v>
      </c>
      <c r="E19" s="10">
        <f t="shared" ca="1" si="2"/>
        <v>2926.2175592553281</v>
      </c>
      <c r="F19" s="285" t="str">
        <f t="shared" ca="1" si="3"/>
        <v/>
      </c>
      <c r="G19" s="287" t="str">
        <f t="shared" ca="1" si="3"/>
        <v/>
      </c>
      <c r="H19" s="287" t="str">
        <f t="shared" ca="1" si="3"/>
        <v/>
      </c>
      <c r="I19" s="12"/>
      <c r="J19" s="12"/>
      <c r="K19" s="39"/>
    </row>
    <row r="20" spans="1:11" s="3" customFormat="1" ht="15">
      <c r="A20" s="9" t="s">
        <v>271</v>
      </c>
      <c r="B20" s="9" t="s">
        <v>271</v>
      </c>
      <c r="C20" s="10">
        <f t="shared" ca="1" si="2"/>
        <v>1138.9759148596304</v>
      </c>
      <c r="D20" s="10">
        <f t="shared" ca="1" si="2"/>
        <v>1701.8946336678298</v>
      </c>
      <c r="E20" s="10">
        <f t="shared" ca="1" si="2"/>
        <v>3016.9119092312922</v>
      </c>
      <c r="F20" s="285" t="str">
        <f t="shared" ca="1" si="3"/>
        <v/>
      </c>
      <c r="G20" s="287" t="str">
        <f t="shared" ca="1" si="3"/>
        <v/>
      </c>
      <c r="H20" s="287" t="str">
        <f t="shared" ca="1" si="3"/>
        <v/>
      </c>
      <c r="I20" s="12"/>
      <c r="J20" s="12"/>
      <c r="K20" s="39"/>
    </row>
    <row r="21" spans="1:11" s="3" customFormat="1" ht="15">
      <c r="A21" s="9" t="s">
        <v>272</v>
      </c>
      <c r="B21" s="9" t="s">
        <v>272</v>
      </c>
      <c r="C21" s="10">
        <f t="shared" ca="1" si="2"/>
        <v>1100.1356725911876</v>
      </c>
      <c r="D21" s="10">
        <f t="shared" ca="1" si="2"/>
        <v>1643.8582880132619</v>
      </c>
      <c r="E21" s="10">
        <f t="shared" ca="1" si="2"/>
        <v>2914.0321310653644</v>
      </c>
      <c r="F21" s="285" t="str">
        <f t="shared" ca="1" si="3"/>
        <v/>
      </c>
      <c r="G21" s="289" t="str">
        <f t="shared" ca="1" si="3"/>
        <v/>
      </c>
      <c r="H21" s="287" t="str">
        <f t="shared" ca="1" si="3"/>
        <v/>
      </c>
      <c r="I21" s="41"/>
      <c r="J21" s="41"/>
      <c r="K21" s="42"/>
    </row>
    <row r="22" spans="1:11" s="3" customFormat="1" ht="15">
      <c r="B22" s="383"/>
      <c r="C22" s="384"/>
      <c r="D22" s="384"/>
      <c r="E22" s="384"/>
      <c r="F22" s="384"/>
      <c r="G22" s="421"/>
      <c r="H22" s="384"/>
      <c r="I22" s="384"/>
      <c r="J22" s="384"/>
      <c r="K22" s="385"/>
    </row>
    <row r="23" spans="1:11" s="3" customFormat="1" ht="15">
      <c r="B23" s="4" t="s">
        <v>288</v>
      </c>
      <c r="C23" s="236" t="s">
        <v>207</v>
      </c>
      <c r="D23" s="236" t="s">
        <v>18</v>
      </c>
      <c r="E23" s="236" t="s">
        <v>208</v>
      </c>
      <c r="F23" s="384"/>
      <c r="G23" s="384"/>
      <c r="H23" s="384"/>
      <c r="I23" s="384"/>
      <c r="J23" s="384"/>
      <c r="K23" s="385"/>
    </row>
    <row r="24" spans="1:11" s="3" customFormat="1" ht="15">
      <c r="A24" s="9" t="s">
        <v>57</v>
      </c>
      <c r="B24" s="7" t="s">
        <v>57</v>
      </c>
      <c r="C24" s="10">
        <f ca="1">(I$8+I$9)*INDIRECT(CONCATENATE($A24,"_IMPERVIOUS"))</f>
        <v>7551.1097206845525</v>
      </c>
      <c r="D24" s="10">
        <f t="shared" ref="D24:E31" ca="1" si="4">(J$8+J$9)*INDIRECT(CONCATENATE($A24,"_IMPERVIOUS"))</f>
        <v>12049.534382962251</v>
      </c>
      <c r="E24" s="10">
        <f t="shared" ca="1" si="4"/>
        <v>22520.45412216767</v>
      </c>
      <c r="F24" s="384"/>
      <c r="G24" s="384"/>
      <c r="H24" s="384"/>
      <c r="I24" s="384"/>
      <c r="J24" s="384"/>
      <c r="K24" s="385"/>
    </row>
    <row r="25" spans="1:11" s="3" customFormat="1" ht="15">
      <c r="A25" s="9" t="s">
        <v>266</v>
      </c>
      <c r="B25" s="9" t="s">
        <v>266</v>
      </c>
      <c r="C25" s="10">
        <f t="shared" ref="C25:C31" ca="1" si="5">(I$8+I$9)*INDIRECT(CONCATENATE($A25,"_IMPERVIOUS"))</f>
        <v>14957.997372169206</v>
      </c>
      <c r="D25" s="10">
        <f t="shared" ca="1" si="4"/>
        <v>23868.929243935327</v>
      </c>
      <c r="E25" s="10">
        <f t="shared" ca="1" si="4"/>
        <v>44610.779877385066</v>
      </c>
      <c r="F25" s="384"/>
      <c r="G25" s="384"/>
      <c r="H25" s="384"/>
      <c r="I25" s="384"/>
      <c r="J25" s="384"/>
      <c r="K25" s="385"/>
    </row>
    <row r="26" spans="1:11" s="3" customFormat="1" ht="15">
      <c r="A26" s="9" t="s">
        <v>267</v>
      </c>
      <c r="B26" s="9" t="s">
        <v>267</v>
      </c>
      <c r="C26" s="10">
        <f t="shared" ca="1" si="5"/>
        <v>7095.0367326134519</v>
      </c>
      <c r="D26" s="10">
        <f t="shared" ca="1" si="4"/>
        <v>11321.764908781592</v>
      </c>
      <c r="E26" s="10">
        <f t="shared" ca="1" si="4"/>
        <v>21160.260563321594</v>
      </c>
      <c r="F26" s="384"/>
      <c r="G26" s="384"/>
      <c r="H26" s="384"/>
      <c r="I26" s="384"/>
      <c r="J26" s="384"/>
      <c r="K26" s="385"/>
    </row>
    <row r="27" spans="1:11" s="3" customFormat="1" ht="15">
      <c r="A27" s="9" t="s">
        <v>268</v>
      </c>
      <c r="B27" s="9" t="s">
        <v>268</v>
      </c>
      <c r="C27" s="10">
        <f t="shared" ca="1" si="5"/>
        <v>7391.693923692882</v>
      </c>
      <c r="D27" s="10">
        <f t="shared" ca="1" si="4"/>
        <v>11795.149769562098</v>
      </c>
      <c r="E27" s="10">
        <f t="shared" ca="1" si="4"/>
        <v>22045.011932172019</v>
      </c>
      <c r="F27" s="384"/>
      <c r="G27" s="384"/>
      <c r="H27" s="384"/>
      <c r="I27" s="384"/>
      <c r="J27" s="384"/>
      <c r="K27" s="385"/>
    </row>
    <row r="28" spans="1:11" s="3" customFormat="1" ht="15">
      <c r="A28" s="9" t="s">
        <v>269</v>
      </c>
      <c r="B28" s="9" t="s">
        <v>269</v>
      </c>
      <c r="C28" s="10">
        <f t="shared" ca="1" si="5"/>
        <v>7880.1382721086438</v>
      </c>
      <c r="D28" s="10">
        <f t="shared" ca="1" si="4"/>
        <v>12574.575203452596</v>
      </c>
      <c r="E28" s="10">
        <f t="shared" ca="1" si="4"/>
        <v>23501.749941102982</v>
      </c>
      <c r="F28" s="384"/>
      <c r="G28" s="384"/>
      <c r="H28" s="384"/>
      <c r="I28" s="384"/>
      <c r="J28" s="384"/>
      <c r="K28" s="385"/>
    </row>
    <row r="29" spans="1:11" s="3" customFormat="1" ht="15">
      <c r="A29" s="9" t="s">
        <v>270</v>
      </c>
      <c r="B29" s="9" t="s">
        <v>270</v>
      </c>
      <c r="C29" s="10">
        <f t="shared" ca="1" si="5"/>
        <v>7403.7885763484246</v>
      </c>
      <c r="D29" s="10">
        <f t="shared" ca="1" si="4"/>
        <v>11814.449572957054</v>
      </c>
      <c r="E29" s="10">
        <f t="shared" ca="1" si="4"/>
        <v>22081.083063479593</v>
      </c>
      <c r="F29" s="384"/>
      <c r="G29" s="384"/>
      <c r="H29" s="384"/>
      <c r="I29" s="384"/>
      <c r="J29" s="384"/>
      <c r="K29" s="385"/>
    </row>
    <row r="30" spans="1:11" s="3" customFormat="1" ht="15">
      <c r="A30" s="9" t="s">
        <v>271</v>
      </c>
      <c r="B30" s="9" t="s">
        <v>271</v>
      </c>
      <c r="C30" s="10">
        <f t="shared" ca="1" si="5"/>
        <v>7633.2594816020555</v>
      </c>
      <c r="D30" s="10">
        <f t="shared" ca="1" si="4"/>
        <v>12180.623243453319</v>
      </c>
      <c r="E30" s="10">
        <f t="shared" ca="1" si="4"/>
        <v>22765.457835571793</v>
      </c>
      <c r="F30" s="384"/>
      <c r="G30" s="384"/>
      <c r="H30" s="384"/>
      <c r="I30" s="384"/>
      <c r="J30" s="384"/>
      <c r="K30" s="385"/>
    </row>
    <row r="31" spans="1:11" s="3" customFormat="1" ht="15">
      <c r="A31" s="9" t="s">
        <v>272</v>
      </c>
      <c r="B31" s="9" t="s">
        <v>272</v>
      </c>
      <c r="C31" s="10">
        <f t="shared" ca="1" si="5"/>
        <v>7372.9575351821877</v>
      </c>
      <c r="D31" s="10">
        <f t="shared" ca="1" si="4"/>
        <v>11765.25154719172</v>
      </c>
      <c r="E31" s="10">
        <f t="shared" ca="1" si="4"/>
        <v>21989.1324663083</v>
      </c>
      <c r="F31" s="384"/>
      <c r="G31" s="384"/>
      <c r="H31" s="384"/>
      <c r="I31" s="384"/>
      <c r="J31" s="384"/>
      <c r="K31" s="385"/>
    </row>
    <row r="32" spans="1:11" s="3" customFormat="1" ht="15">
      <c r="B32" s="383"/>
      <c r="C32" s="384"/>
      <c r="D32" s="384"/>
      <c r="E32" s="384"/>
      <c r="F32" s="384"/>
      <c r="G32" s="384"/>
      <c r="H32" s="384"/>
      <c r="I32" s="384"/>
      <c r="J32" s="384"/>
      <c r="K32" s="385"/>
    </row>
    <row r="33" spans="1:11" s="3" customFormat="1" ht="15">
      <c r="B33" s="4" t="s">
        <v>475</v>
      </c>
      <c r="C33" s="262" t="s">
        <v>207</v>
      </c>
      <c r="D33" s="262" t="s">
        <v>18</v>
      </c>
      <c r="E33" s="262" t="s">
        <v>208</v>
      </c>
      <c r="F33" s="384"/>
      <c r="G33" s="384"/>
      <c r="H33" s="384"/>
      <c r="I33" s="384"/>
      <c r="J33" s="384"/>
      <c r="K33" s="385"/>
    </row>
    <row r="34" spans="1:11" s="3" customFormat="1" ht="15">
      <c r="A34" s="9" t="s">
        <v>57</v>
      </c>
      <c r="B34" s="7" t="s">
        <v>57</v>
      </c>
      <c r="C34" s="10">
        <f t="shared" ref="C34:E41" ca="1" si="6">(INDIRECT(CONCATENATE("LAND_COST_",$A34))*Project_Acres_Developable*I$10)*INDIRECT(CONCATENATE($A34,"_IMPERVIOUS"))</f>
        <v>776.71672411458508</v>
      </c>
      <c r="D34" s="10">
        <f t="shared" ca="1" si="6"/>
        <v>776.71672411458508</v>
      </c>
      <c r="E34" s="10">
        <f t="shared" ca="1" si="6"/>
        <v>776.71672411458508</v>
      </c>
      <c r="F34" s="384"/>
      <c r="G34" s="384"/>
      <c r="H34" s="384"/>
      <c r="I34" s="384"/>
      <c r="J34" s="384"/>
      <c r="K34" s="385"/>
    </row>
    <row r="35" spans="1:11" s="3" customFormat="1" ht="15">
      <c r="A35" s="9" t="s">
        <v>266</v>
      </c>
      <c r="B35" s="9" t="s">
        <v>266</v>
      </c>
      <c r="C35" s="10">
        <f t="shared" ca="1" si="6"/>
        <v>1538.5985832520239</v>
      </c>
      <c r="D35" s="10">
        <f t="shared" ca="1" si="6"/>
        <v>1538.5985832520239</v>
      </c>
      <c r="E35" s="10">
        <f t="shared" ca="1" si="6"/>
        <v>1538.5985832520239</v>
      </c>
      <c r="F35" s="384"/>
      <c r="G35" s="384"/>
      <c r="H35" s="384"/>
      <c r="I35" s="384"/>
      <c r="J35" s="384"/>
      <c r="K35" s="385"/>
    </row>
    <row r="36" spans="1:11" s="3" customFormat="1" ht="15">
      <c r="A36" s="9" t="s">
        <v>267</v>
      </c>
      <c r="B36" s="9" t="s">
        <v>267</v>
      </c>
      <c r="C36" s="10">
        <f t="shared" ca="1" si="6"/>
        <v>729.80447805340327</v>
      </c>
      <c r="D36" s="10">
        <f t="shared" ca="1" si="6"/>
        <v>729.80447805340327</v>
      </c>
      <c r="E36" s="10">
        <f t="shared" ca="1" si="6"/>
        <v>729.80447805340327</v>
      </c>
      <c r="F36" s="384"/>
      <c r="G36" s="384"/>
      <c r="H36" s="384"/>
      <c r="I36" s="384"/>
      <c r="J36" s="384"/>
      <c r="K36" s="385"/>
    </row>
    <row r="37" spans="1:11" s="3" customFormat="1" ht="15">
      <c r="A37" s="9" t="s">
        <v>268</v>
      </c>
      <c r="B37" s="9" t="s">
        <v>268</v>
      </c>
      <c r="C37" s="10">
        <f t="shared" ca="1" si="6"/>
        <v>760.31901302421295</v>
      </c>
      <c r="D37" s="10">
        <f t="shared" ca="1" si="6"/>
        <v>760.31901302421295</v>
      </c>
      <c r="E37" s="10">
        <f t="shared" ca="1" si="6"/>
        <v>760.31901302421295</v>
      </c>
      <c r="F37" s="384"/>
      <c r="G37" s="384"/>
      <c r="H37" s="384"/>
      <c r="I37" s="384"/>
      <c r="J37" s="384"/>
      <c r="K37" s="385"/>
    </row>
    <row r="38" spans="1:11" s="3" customFormat="1" ht="15">
      <c r="A38" s="9" t="s">
        <v>269</v>
      </c>
      <c r="B38" s="9" t="s">
        <v>269</v>
      </c>
      <c r="C38" s="10">
        <f t="shared" ca="1" si="6"/>
        <v>810.56101827206942</v>
      </c>
      <c r="D38" s="10">
        <f t="shared" ca="1" si="6"/>
        <v>810.56101827206942</v>
      </c>
      <c r="E38" s="10">
        <f t="shared" ca="1" si="6"/>
        <v>810.56101827206942</v>
      </c>
      <c r="F38" s="384"/>
      <c r="G38" s="384"/>
      <c r="H38" s="384"/>
      <c r="I38" s="384"/>
      <c r="J38" s="384"/>
      <c r="K38" s="385"/>
    </row>
    <row r="39" spans="1:11" s="3" customFormat="1" ht="15">
      <c r="A39" s="9" t="s">
        <v>270</v>
      </c>
      <c r="B39" s="9" t="s">
        <v>270</v>
      </c>
      <c r="C39" s="10">
        <f t="shared" ca="1" si="6"/>
        <v>761.56308433788809</v>
      </c>
      <c r="D39" s="10">
        <f t="shared" ca="1" si="6"/>
        <v>761.56308433788809</v>
      </c>
      <c r="E39" s="10">
        <f t="shared" ca="1" si="6"/>
        <v>761.56308433788809</v>
      </c>
      <c r="F39" s="384"/>
      <c r="G39" s="384"/>
      <c r="H39" s="384"/>
      <c r="I39" s="384"/>
      <c r="J39" s="384"/>
      <c r="K39" s="385"/>
    </row>
    <row r="40" spans="1:11" s="3" customFormat="1" ht="15">
      <c r="A40" s="9" t="s">
        <v>271</v>
      </c>
      <c r="B40" s="9" t="s">
        <v>271</v>
      </c>
      <c r="C40" s="10">
        <f t="shared" ca="1" si="6"/>
        <v>785.16675272585712</v>
      </c>
      <c r="D40" s="10">
        <f t="shared" ca="1" si="6"/>
        <v>785.16675272585712</v>
      </c>
      <c r="E40" s="10">
        <f t="shared" ca="1" si="6"/>
        <v>785.16675272585712</v>
      </c>
      <c r="F40" s="384"/>
      <c r="G40" s="384"/>
      <c r="H40" s="384"/>
      <c r="I40" s="384"/>
      <c r="J40" s="384"/>
      <c r="K40" s="385"/>
    </row>
    <row r="41" spans="1:11" s="3" customFormat="1" ht="15">
      <c r="A41" s="9" t="s">
        <v>272</v>
      </c>
      <c r="B41" s="9" t="s">
        <v>272</v>
      </c>
      <c r="C41" s="10">
        <f t="shared" ca="1" si="6"/>
        <v>758.39176433573198</v>
      </c>
      <c r="D41" s="10">
        <f t="shared" ca="1" si="6"/>
        <v>758.39176433573198</v>
      </c>
      <c r="E41" s="10">
        <f t="shared" ca="1" si="6"/>
        <v>758.39176433573198</v>
      </c>
      <c r="F41" s="384"/>
      <c r="G41" s="384"/>
      <c r="H41" s="384"/>
      <c r="I41" s="384"/>
      <c r="J41" s="384"/>
      <c r="K41" s="385"/>
    </row>
    <row r="42" spans="1:11" s="3" customFormat="1" ht="15">
      <c r="B42" s="383"/>
      <c r="C42" s="384"/>
      <c r="D42" s="384"/>
      <c r="E42" s="384"/>
      <c r="F42" s="384"/>
      <c r="G42" s="384"/>
      <c r="H42" s="384"/>
      <c r="I42" s="384"/>
      <c r="J42" s="384"/>
      <c r="K42" s="385"/>
    </row>
    <row r="43" spans="1:11" s="3" customFormat="1" ht="15">
      <c r="B43" s="4" t="s">
        <v>476</v>
      </c>
      <c r="C43" s="236" t="s">
        <v>207</v>
      </c>
      <c r="D43" s="236" t="s">
        <v>18</v>
      </c>
      <c r="E43" s="236" t="s">
        <v>208</v>
      </c>
      <c r="F43" s="384"/>
      <c r="G43" s="384"/>
      <c r="H43" s="384"/>
      <c r="I43" s="384"/>
      <c r="J43" s="384"/>
      <c r="K43" s="385"/>
    </row>
    <row r="44" spans="1:11" s="3" customFormat="1" ht="15">
      <c r="A44" s="9" t="s">
        <v>57</v>
      </c>
      <c r="B44" s="7" t="s">
        <v>57</v>
      </c>
      <c r="C44" s="10">
        <f ca="1">I$11*INDIRECT(CONCATENATE($A44,"_IMPERVIOUS"))</f>
        <v>359.57665336593112</v>
      </c>
      <c r="D44" s="10">
        <f ca="1">J$11*INDIRECT(CONCATENATE($A44,"_IMPERVIOUS"))</f>
        <v>491.81772991682658</v>
      </c>
      <c r="E44" s="10">
        <f ca="1">K$11*INDIRECT(CONCATENATE($A44,"_IMPERVIOUS"))</f>
        <v>804.30193293455977</v>
      </c>
      <c r="F44" s="384"/>
      <c r="G44" s="384"/>
      <c r="H44" s="384"/>
      <c r="I44" s="384"/>
      <c r="J44" s="384"/>
      <c r="K44" s="385"/>
    </row>
    <row r="45" spans="1:11" s="3" customFormat="1" ht="15">
      <c r="A45" s="9" t="s">
        <v>266</v>
      </c>
      <c r="B45" s="9" t="s">
        <v>266</v>
      </c>
      <c r="C45" s="10">
        <f t="shared" ref="C45:C51" ca="1" si="7">I$11*INDIRECT(CONCATENATE($A45,"_IMPERVIOUS"))</f>
        <v>712.28558915091469</v>
      </c>
      <c r="D45" s="10">
        <f t="shared" ref="D45:D51" ca="1" si="8">J$11*INDIRECT(CONCATENATE($A45,"_IMPERVIOUS"))</f>
        <v>974.24200995654405</v>
      </c>
      <c r="E45" s="10">
        <f t="shared" ref="E45:E51" ca="1" si="9">K$11*INDIRECT(CONCATENATE($A45,"_IMPERVIOUS"))</f>
        <v>1593.2421384780382</v>
      </c>
      <c r="F45" s="384"/>
      <c r="G45" s="384"/>
      <c r="H45" s="384"/>
      <c r="I45" s="384"/>
      <c r="J45" s="384"/>
      <c r="K45" s="385"/>
    </row>
    <row r="46" spans="1:11" s="3" customFormat="1" ht="15">
      <c r="A46" s="9" t="s">
        <v>267</v>
      </c>
      <c r="B46" s="9" t="s">
        <v>267</v>
      </c>
      <c r="C46" s="10">
        <f t="shared" ca="1" si="7"/>
        <v>337.85889202921203</v>
      </c>
      <c r="D46" s="10">
        <f t="shared" ca="1" si="8"/>
        <v>462.11285341965686</v>
      </c>
      <c r="E46" s="10">
        <f t="shared" ca="1" si="9"/>
        <v>755.72359154719982</v>
      </c>
      <c r="F46" s="384"/>
      <c r="G46" s="384"/>
      <c r="H46" s="384"/>
      <c r="I46" s="384"/>
      <c r="J46" s="384"/>
      <c r="K46" s="385"/>
    </row>
    <row r="47" spans="1:11" s="3" customFormat="1" ht="15">
      <c r="A47" s="9" t="s">
        <v>268</v>
      </c>
      <c r="B47" s="9" t="s">
        <v>268</v>
      </c>
      <c r="C47" s="10">
        <f t="shared" ca="1" si="7"/>
        <v>351.98542493775631</v>
      </c>
      <c r="D47" s="10">
        <f t="shared" ca="1" si="8"/>
        <v>481.43468447192242</v>
      </c>
      <c r="E47" s="10">
        <f t="shared" ca="1" si="9"/>
        <v>787.32185472042931</v>
      </c>
      <c r="F47" s="384"/>
      <c r="G47" s="384"/>
      <c r="H47" s="384"/>
      <c r="I47" s="384"/>
      <c r="J47" s="384"/>
      <c r="K47" s="385"/>
    </row>
    <row r="48" spans="1:11" s="3" customFormat="1" ht="15">
      <c r="A48" s="9" t="s">
        <v>269</v>
      </c>
      <c r="B48" s="9" t="s">
        <v>269</v>
      </c>
      <c r="C48" s="10">
        <f t="shared" ca="1" si="7"/>
        <v>375.24467962422113</v>
      </c>
      <c r="D48" s="10">
        <f t="shared" ca="1" si="8"/>
        <v>513.24796748786116</v>
      </c>
      <c r="E48" s="10">
        <f t="shared" ca="1" si="9"/>
        <v>839.34821218224931</v>
      </c>
      <c r="F48" s="384"/>
      <c r="G48" s="384"/>
      <c r="H48" s="384"/>
      <c r="I48" s="384"/>
      <c r="J48" s="384"/>
      <c r="K48" s="385"/>
    </row>
    <row r="49" spans="1:16" s="3" customFormat="1" ht="15">
      <c r="A49" s="9" t="s">
        <v>270</v>
      </c>
      <c r="B49" s="9" t="s">
        <v>270</v>
      </c>
      <c r="C49" s="10">
        <f t="shared" ca="1" si="7"/>
        <v>352.56136077849646</v>
      </c>
      <c r="D49" s="10">
        <f t="shared" ca="1" si="8"/>
        <v>482.22243154926758</v>
      </c>
      <c r="E49" s="10">
        <f t="shared" ca="1" si="9"/>
        <v>788.61010940998551</v>
      </c>
      <c r="F49" s="384"/>
      <c r="G49" s="384"/>
      <c r="H49" s="384"/>
      <c r="I49" s="384"/>
      <c r="J49" s="384"/>
      <c r="K49" s="385"/>
    </row>
    <row r="50" spans="1:16" s="3" customFormat="1" ht="15">
      <c r="A50" s="9" t="s">
        <v>271</v>
      </c>
      <c r="B50" s="9" t="s">
        <v>271</v>
      </c>
      <c r="C50" s="10">
        <f t="shared" ca="1" si="7"/>
        <v>363.48854674295507</v>
      </c>
      <c r="D50" s="10">
        <f t="shared" ca="1" si="8"/>
        <v>497.16829565115597</v>
      </c>
      <c r="E50" s="10">
        <f t="shared" ca="1" si="9"/>
        <v>813.05206555613552</v>
      </c>
      <c r="F50" s="384"/>
      <c r="G50" s="384"/>
      <c r="H50" s="384"/>
      <c r="I50" s="384"/>
      <c r="J50" s="384"/>
      <c r="K50" s="385"/>
    </row>
    <row r="51" spans="1:16" s="3" customFormat="1" ht="15">
      <c r="A51" s="9" t="s">
        <v>272</v>
      </c>
      <c r="B51" s="9" t="s">
        <v>272</v>
      </c>
      <c r="C51" s="10">
        <f t="shared" ca="1" si="7"/>
        <v>351.09321596105656</v>
      </c>
      <c r="D51" s="10">
        <f t="shared" ca="1" si="8"/>
        <v>480.21434886496826</v>
      </c>
      <c r="E51" s="10">
        <f t="shared" ca="1" si="9"/>
        <v>785.3261595110107</v>
      </c>
      <c r="F51" s="384"/>
      <c r="G51" s="384"/>
      <c r="H51" s="384"/>
      <c r="I51" s="384"/>
      <c r="J51" s="384"/>
      <c r="K51" s="385"/>
    </row>
    <row r="52" spans="1:16" s="3" customFormat="1" ht="15">
      <c r="B52" s="387" t="s">
        <v>242</v>
      </c>
      <c r="C52" s="388"/>
      <c r="D52" s="388"/>
      <c r="E52" s="388"/>
      <c r="F52" s="388"/>
      <c r="G52" s="388"/>
      <c r="H52" s="388"/>
      <c r="I52" s="388"/>
      <c r="J52" s="388"/>
      <c r="K52" s="389"/>
    </row>
    <row r="53" spans="1:16" s="3" customFormat="1" ht="15.75" thickBot="1">
      <c r="B53" s="380" t="s">
        <v>273</v>
      </c>
      <c r="C53" s="381"/>
      <c r="D53" s="381"/>
      <c r="E53" s="381"/>
      <c r="F53" s="381"/>
      <c r="G53" s="381"/>
      <c r="H53" s="381"/>
      <c r="I53" s="381"/>
      <c r="J53" s="381"/>
      <c r="K53" s="382"/>
    </row>
    <row r="54" spans="1:16" s="3" customFormat="1" ht="15">
      <c r="B54" s="13"/>
      <c r="C54" s="13"/>
      <c r="D54" s="13"/>
      <c r="E54" s="13"/>
      <c r="F54" s="13"/>
      <c r="G54" s="13"/>
      <c r="H54" s="13"/>
      <c r="I54" s="13"/>
      <c r="J54" s="13"/>
      <c r="K54" s="13"/>
    </row>
    <row r="55" spans="1:16" s="3" customFormat="1" ht="15">
      <c r="A55" s="15"/>
      <c r="B55" s="13"/>
      <c r="C55" s="13"/>
      <c r="D55" s="13"/>
      <c r="E55" s="13"/>
      <c r="F55" s="13"/>
      <c r="G55" s="13"/>
      <c r="H55" s="13"/>
      <c r="I55" s="13"/>
      <c r="J55" s="13"/>
      <c r="K55" s="13"/>
    </row>
    <row r="56" spans="1:16" s="3" customFormat="1" ht="15">
      <c r="B56" s="13"/>
      <c r="C56" s="13"/>
      <c r="D56" s="13"/>
      <c r="E56" s="13"/>
      <c r="F56" s="13"/>
      <c r="G56" s="13"/>
      <c r="H56" s="13"/>
      <c r="I56" s="13"/>
      <c r="J56" s="13"/>
      <c r="K56" s="13"/>
    </row>
    <row r="57" spans="1:16" hidden="1">
      <c r="A57" s="1" t="s">
        <v>52</v>
      </c>
      <c r="B57" s="1" t="s">
        <v>30</v>
      </c>
      <c r="C57" s="1" t="s">
        <v>30</v>
      </c>
      <c r="D57" s="1" t="s">
        <v>30</v>
      </c>
      <c r="E57" s="1" t="s">
        <v>81</v>
      </c>
      <c r="F57" s="1" t="s">
        <v>82</v>
      </c>
      <c r="G57" s="1" t="s">
        <v>84</v>
      </c>
      <c r="H57" s="1" t="s">
        <v>79</v>
      </c>
      <c r="I57" s="1" t="s">
        <v>85</v>
      </c>
      <c r="J57" s="1" t="s">
        <v>86</v>
      </c>
      <c r="K57" s="1" t="s">
        <v>87</v>
      </c>
      <c r="L57" s="1" t="s">
        <v>88</v>
      </c>
      <c r="M57" s="1" t="s">
        <v>99</v>
      </c>
      <c r="N57" s="1" t="s">
        <v>100</v>
      </c>
      <c r="O57" s="1" t="s">
        <v>147</v>
      </c>
      <c r="P57" s="1" t="s">
        <v>156</v>
      </c>
    </row>
    <row r="58" spans="1:16" hidden="1">
      <c r="A58" s="22" t="s">
        <v>148</v>
      </c>
      <c r="O58" s="23" t="e">
        <f>O59*Pre_Construction_Cost</f>
        <v>#NAME?</v>
      </c>
      <c r="P58" s="23" t="e">
        <f>P59*Pre_Construction_Cost</f>
        <v>#NAME?</v>
      </c>
    </row>
    <row r="59" spans="1:16" hidden="1">
      <c r="A59" s="22" t="s">
        <v>149</v>
      </c>
      <c r="O59" s="23">
        <v>37500</v>
      </c>
      <c r="P59" s="23">
        <v>131250</v>
      </c>
    </row>
    <row r="60" spans="1:16" hidden="1">
      <c r="A60" s="22" t="s">
        <v>150</v>
      </c>
      <c r="O60" s="23">
        <f>20.67*1.5</f>
        <v>31.005000000000003</v>
      </c>
      <c r="P60" s="23">
        <f>20.67*1.5</f>
        <v>31.005000000000003</v>
      </c>
    </row>
    <row r="61" spans="1:16" hidden="1">
      <c r="A61" s="22" t="s">
        <v>76</v>
      </c>
      <c r="B61" s="22" t="s">
        <v>33</v>
      </c>
      <c r="C61" s="22" t="s">
        <v>32</v>
      </c>
      <c r="D61" s="22" t="s">
        <v>31</v>
      </c>
      <c r="E61" s="22" t="s">
        <v>29</v>
      </c>
      <c r="F61" s="22" t="s">
        <v>28</v>
      </c>
      <c r="G61" s="22" t="s">
        <v>27</v>
      </c>
      <c r="H61" s="22" t="s">
        <v>26</v>
      </c>
      <c r="I61" s="22" t="s">
        <v>24</v>
      </c>
      <c r="J61" s="22" t="s">
        <v>24</v>
      </c>
      <c r="K61" s="22" t="s">
        <v>24</v>
      </c>
      <c r="L61" s="22" t="s">
        <v>24</v>
      </c>
      <c r="M61" s="22" t="s">
        <v>23</v>
      </c>
      <c r="N61" s="22" t="s">
        <v>22</v>
      </c>
      <c r="O61" s="23"/>
      <c r="P61" s="23"/>
    </row>
    <row r="62" spans="1:16" hidden="1">
      <c r="A62" s="22" t="s">
        <v>38</v>
      </c>
      <c r="B62" s="22" t="s">
        <v>21</v>
      </c>
      <c r="C62" s="22" t="s">
        <v>21</v>
      </c>
      <c r="D62" s="22" t="s">
        <v>21</v>
      </c>
      <c r="E62" s="22">
        <v>900</v>
      </c>
      <c r="F62" s="22">
        <v>2400</v>
      </c>
      <c r="G62" s="22">
        <v>1650.9240000000002</v>
      </c>
      <c r="H62" s="22">
        <v>3538</v>
      </c>
      <c r="I62" s="22">
        <v>1089</v>
      </c>
      <c r="J62" s="22">
        <v>10890</v>
      </c>
      <c r="K62" s="22">
        <v>1089</v>
      </c>
      <c r="L62" s="22">
        <v>10890</v>
      </c>
      <c r="M62" s="22">
        <v>200</v>
      </c>
      <c r="N62" s="22" t="s">
        <v>21</v>
      </c>
      <c r="O62" s="23"/>
      <c r="P62" s="23"/>
    </row>
    <row r="63" spans="1:16" hidden="1">
      <c r="A63" s="22" t="s">
        <v>37</v>
      </c>
      <c r="B63" s="22" t="s">
        <v>21</v>
      </c>
      <c r="C63" s="22" t="s">
        <v>21</v>
      </c>
      <c r="D63" s="22" t="s">
        <v>21</v>
      </c>
      <c r="E63" s="22">
        <v>21780</v>
      </c>
      <c r="F63" s="22">
        <v>66000</v>
      </c>
      <c r="G63" s="22">
        <v>43560</v>
      </c>
      <c r="H63" s="22">
        <v>43560</v>
      </c>
      <c r="I63" s="22">
        <v>43560</v>
      </c>
      <c r="J63" s="22">
        <v>435600</v>
      </c>
      <c r="K63" s="22">
        <v>43560</v>
      </c>
      <c r="L63" s="22">
        <v>435600</v>
      </c>
      <c r="M63" s="22">
        <v>1000</v>
      </c>
      <c r="N63" s="22" t="s">
        <v>21</v>
      </c>
      <c r="O63" s="23"/>
      <c r="P63" s="23"/>
    </row>
    <row r="64" spans="1:16" hidden="1">
      <c r="A64" s="22" t="s">
        <v>34</v>
      </c>
      <c r="B64" s="27">
        <v>50</v>
      </c>
      <c r="C64" s="27">
        <v>30</v>
      </c>
      <c r="D64" s="27">
        <v>25</v>
      </c>
      <c r="E64" s="27">
        <v>25</v>
      </c>
      <c r="F64" s="27">
        <v>21.611111111111111</v>
      </c>
      <c r="G64" s="27">
        <v>50</v>
      </c>
      <c r="H64" s="27">
        <v>21.611111111111111</v>
      </c>
      <c r="I64" s="27">
        <v>20</v>
      </c>
      <c r="J64" s="27">
        <v>20</v>
      </c>
      <c r="K64" s="27">
        <v>20</v>
      </c>
      <c r="L64" s="27">
        <v>20</v>
      </c>
      <c r="M64" s="27">
        <v>25</v>
      </c>
      <c r="N64" s="27">
        <v>21.611111111111111</v>
      </c>
      <c r="O64" s="23"/>
      <c r="P64" s="23"/>
    </row>
    <row r="65" spans="1:16" hidden="1">
      <c r="A65" s="22" t="s">
        <v>105</v>
      </c>
      <c r="B65" s="23" t="e">
        <f>CCI_Adjustment_2008*5.15</f>
        <v>#NAME?</v>
      </c>
      <c r="C65" s="23" t="e">
        <f>CCI_Adjustment_2008*7</f>
        <v>#NAME?</v>
      </c>
      <c r="D65" s="23" t="e">
        <f>CCI_Adjustment_2008*16.05</f>
        <v>#NAME?</v>
      </c>
      <c r="E65" s="23" t="e">
        <f>CCI_Adjustment_2008*18.6005909213</f>
        <v>#NAME?</v>
      </c>
      <c r="F65" s="23" t="e">
        <f>CCI_Adjustment_2008*20</f>
        <v>#NAME?</v>
      </c>
      <c r="G65" s="23" t="e">
        <f>CCI_Adjustment_2008*43.7265</f>
        <v>#NAME?</v>
      </c>
      <c r="H65" s="23" t="e">
        <f>CCI_Adjustment_2008*5.45453789620246</f>
        <v>#NAME?</v>
      </c>
      <c r="I65" s="23" t="e">
        <f>CCI_Adjustment_2008*11.584215460414</f>
        <v>#NAME?</v>
      </c>
      <c r="J65" s="23" t="e">
        <f>CCI_Adjustment_2008*14.1862179085996</f>
        <v>#NAME?</v>
      </c>
      <c r="K65" s="23" t="e">
        <f>CCI_Adjustment_2008*3.26140921395831</f>
        <v>#NAME?</v>
      </c>
      <c r="L65" s="23" t="e">
        <f>CCI_Adjustment_2008*0.894139526507572</f>
        <v>#NAME?</v>
      </c>
      <c r="M65" s="23" t="e">
        <f>CCI_Adjustment_2008*16.55</f>
        <v>#NAME?</v>
      </c>
      <c r="N65" s="23" t="e">
        <f>CCI_Adjustment_2008*36.81</f>
        <v>#NAME?</v>
      </c>
      <c r="O65" s="23"/>
      <c r="P65" s="23"/>
    </row>
    <row r="66" spans="1:16" hidden="1">
      <c r="A66" s="22" t="s">
        <v>151</v>
      </c>
      <c r="B66" s="23"/>
      <c r="C66" s="23"/>
      <c r="D66" s="23"/>
      <c r="E66" s="23"/>
      <c r="F66" s="23"/>
      <c r="G66" s="23"/>
      <c r="H66" s="23"/>
      <c r="I66" s="23"/>
      <c r="J66" s="23"/>
      <c r="K66" s="23"/>
      <c r="L66" s="23"/>
      <c r="M66" s="23"/>
      <c r="N66" s="23"/>
      <c r="O66" s="23">
        <f>O59*OM_High</f>
        <v>1875</v>
      </c>
      <c r="P66" s="23">
        <f>P59*OM_High</f>
        <v>6562.5</v>
      </c>
    </row>
    <row r="67" spans="1:16" hidden="1">
      <c r="A67" s="25" t="s">
        <v>152</v>
      </c>
      <c r="B67" s="23"/>
      <c r="C67" s="23"/>
      <c r="D67" s="23"/>
      <c r="E67" s="23"/>
      <c r="F67" s="23"/>
      <c r="G67" s="23"/>
      <c r="H67" s="23"/>
      <c r="I67" s="23"/>
      <c r="J67" s="23"/>
      <c r="K67" s="23"/>
      <c r="L67" s="23"/>
      <c r="M67" s="23"/>
      <c r="N67" s="23"/>
      <c r="O67" s="23">
        <f>O59*OM_Intermittent_Med</f>
        <v>750</v>
      </c>
      <c r="P67" s="23">
        <f>P59*OM_Intermittent_Med</f>
        <v>2625</v>
      </c>
    </row>
    <row r="68" spans="1:16" hidden="1">
      <c r="A68" s="22" t="s">
        <v>53</v>
      </c>
      <c r="B68" s="23"/>
      <c r="C68" s="23"/>
      <c r="D68" s="23"/>
      <c r="E68" s="23"/>
      <c r="F68" s="23"/>
      <c r="G68" s="23"/>
      <c r="H68" s="23"/>
      <c r="I68" s="23"/>
      <c r="J68" s="23"/>
      <c r="K68" s="23"/>
      <c r="L68" s="23"/>
      <c r="M68" s="23"/>
      <c r="N68" s="23"/>
      <c r="O68" s="23">
        <f>SUM(O66:O67)</f>
        <v>2625</v>
      </c>
      <c r="P68" s="23">
        <f>SUM(P66:P67)</f>
        <v>9187.5</v>
      </c>
    </row>
    <row r="69" spans="1:16" hidden="1">
      <c r="A69" s="22" t="s">
        <v>103</v>
      </c>
      <c r="B69" s="23" t="e">
        <f>CCI_Adjustment_2008*0.31</f>
        <v>#NAME?</v>
      </c>
      <c r="C69" s="23" t="e">
        <f>CCI_Adjustment_2008*0.34</f>
        <v>#NAME?</v>
      </c>
      <c r="D69" s="23" t="e">
        <f>CCI_Adjustment_2008*0.61</f>
        <v>#NAME?</v>
      </c>
      <c r="E69" s="23" t="e">
        <f>CCI_Adjustment_2008*0.682021667114334</f>
        <v>#NAME?</v>
      </c>
      <c r="F69" s="23" t="e">
        <f>CCI_Adjustment_2008*1.2</f>
        <v>#NAME?</v>
      </c>
      <c r="G69" s="23" t="e">
        <f>CCI_Adjustment_2008*0.745</f>
        <v>#NAME?</v>
      </c>
      <c r="H69" s="23" t="e">
        <f>CCI_Adjustment_2008*0.327272273772147</f>
        <v>#NAME?</v>
      </c>
      <c r="I69" s="23" t="e">
        <f>CCI_Adjustment_2008*0.195901144151952</f>
        <v>#NAME?</v>
      </c>
      <c r="J69" s="23" t="e">
        <f>CCI_Adjustment_2008*0.0277994992116327</f>
        <v>#NAME?</v>
      </c>
      <c r="K69" s="23" t="e">
        <f>CCI_Adjustment_2008*0.195901144151952</f>
        <v>#NAME?</v>
      </c>
      <c r="L69" s="23" t="e">
        <f>CCI_Adjustment_2008*0.0277994992116327</f>
        <v>#NAME?</v>
      </c>
      <c r="M69" s="23" t="e">
        <f>CCI_Adjustment_2008*1.145</f>
        <v>#NAME?</v>
      </c>
      <c r="N69" s="23" t="e">
        <f>CCI_Adjustment_2008*0.25</f>
        <v>#NAME?</v>
      </c>
    </row>
    <row r="70" spans="1:16" hidden="1">
      <c r="A70" s="24" t="s">
        <v>159</v>
      </c>
      <c r="B70" s="23"/>
      <c r="C70" s="23"/>
      <c r="D70" s="23"/>
      <c r="E70" s="23"/>
      <c r="F70" s="23"/>
      <c r="G70" s="23"/>
      <c r="H70" s="23"/>
      <c r="I70" s="23"/>
      <c r="J70" s="23"/>
      <c r="K70" s="23"/>
      <c r="L70" s="23"/>
      <c r="M70" s="23"/>
      <c r="N70" s="23"/>
      <c r="O70" s="23">
        <f>Land_Cost_Watershed*Project_Acres_Developable*6%</f>
        <v>3000</v>
      </c>
      <c r="P70" s="23">
        <f>Land_Cost_Watershed*Project_Acres_Developable*6%</f>
        <v>3000</v>
      </c>
    </row>
    <row r="71" spans="1:16" hidden="1">
      <c r="A71" s="26" t="s">
        <v>104</v>
      </c>
      <c r="B71" s="23" t="e">
        <f>CCI_Adjustment_2008*0.510157296374629</f>
        <v>#NAME?</v>
      </c>
      <c r="C71" s="23" t="e">
        <f>CCI_Adjustment_2008*0.697134815241768</f>
        <v>#NAME?</v>
      </c>
      <c r="D71" s="23" t="e">
        <f>CCI_Adjustment_2008*1.531717330178</f>
        <v>#NAME?</v>
      </c>
      <c r="E71" s="23" t="e">
        <f>CCI_Adjustment_2008*1.75021400379432</f>
        <v>#NAME?</v>
      </c>
      <c r="F71" s="23" t="e">
        <f>CCI_Adjustment_2008*2.47098802437722</f>
        <v>#NAME?</v>
      </c>
      <c r="G71" s="23" t="e">
        <f>CCI_Adjustment_2008*2.44445204270392</f>
        <v>#NAME?</v>
      </c>
      <c r="H71" s="23" t="e">
        <f>CCI_Adjustment_2008*0.673904891001399</f>
        <v>#NAME?</v>
      </c>
      <c r="I71" s="23" t="e">
        <f>CCI_Adjustment_2008*0.974542383278152</f>
        <v>#NAME?</v>
      </c>
      <c r="J71" s="23" t="e">
        <f>CCI_Adjustment_2008*0.981336174061387</f>
        <v>#NAME?</v>
      </c>
      <c r="K71" s="23" t="e">
        <f>CCI_Adjustment_2008*0.415119072231076</f>
        <v>#NAME?</v>
      </c>
      <c r="L71" s="23" t="e">
        <f>CCI_Adjustment_2008*0.0878997201761597</f>
        <v>#NAME?</v>
      </c>
      <c r="M71" s="23" t="e">
        <f>CCI_Adjustment_2008*2.09543126569756</f>
        <v>#NAME?</v>
      </c>
      <c r="N71" s="23" t="e">
        <f>CCI_Adjustment_2008*2.58925345886627</f>
        <v>#NAME?</v>
      </c>
    </row>
    <row r="72" spans="1:16" hidden="1">
      <c r="A72" s="26" t="s">
        <v>17</v>
      </c>
      <c r="N72" s="23" t="e">
        <f>D71</f>
        <v>#NAME?</v>
      </c>
    </row>
    <row r="73" spans="1:16" hidden="1">
      <c r="N73" s="22" t="s">
        <v>102</v>
      </c>
    </row>
    <row r="74" spans="1:16" hidden="1"/>
    <row r="75" spans="1:16" hidden="1">
      <c r="A75" s="21" t="s">
        <v>78</v>
      </c>
    </row>
    <row r="76" spans="1:16" hidden="1">
      <c r="A76" s="21" t="s">
        <v>97</v>
      </c>
    </row>
    <row r="77" spans="1:16" hidden="1">
      <c r="A77" s="22" t="s">
        <v>89</v>
      </c>
    </row>
    <row r="78" spans="1:16" hidden="1">
      <c r="A78" s="22" t="s">
        <v>90</v>
      </c>
    </row>
    <row r="79" spans="1:16" hidden="1">
      <c r="A79" s="22" t="s">
        <v>91</v>
      </c>
    </row>
    <row r="80" spans="1:16" hidden="1">
      <c r="A80" s="22" t="s">
        <v>92</v>
      </c>
    </row>
    <row r="81" spans="1:3" hidden="1">
      <c r="A81" s="25" t="s">
        <v>80</v>
      </c>
    </row>
    <row r="82" spans="1:3" hidden="1">
      <c r="A82" s="22" t="s">
        <v>93</v>
      </c>
    </row>
    <row r="83" spans="1:3" hidden="1">
      <c r="A83" s="22" t="s">
        <v>94</v>
      </c>
    </row>
    <row r="84" spans="1:3" hidden="1">
      <c r="A84" s="22" t="s">
        <v>95</v>
      </c>
    </row>
    <row r="85" spans="1:3" hidden="1">
      <c r="A85" s="22" t="s">
        <v>96</v>
      </c>
    </row>
    <row r="86" spans="1:3" hidden="1">
      <c r="A86" s="22" t="s">
        <v>98</v>
      </c>
    </row>
    <row r="87" spans="1:3" hidden="1"/>
    <row r="88" spans="1:3" hidden="1"/>
    <row r="89" spans="1:3" hidden="1">
      <c r="A89" s="26" t="s">
        <v>77</v>
      </c>
    </row>
    <row r="90" spans="1:3" ht="24" hidden="1">
      <c r="C90" s="28" t="s">
        <v>83</v>
      </c>
    </row>
    <row r="91" spans="1:3" hidden="1">
      <c r="A91" s="24" t="s">
        <v>159</v>
      </c>
    </row>
    <row r="93" spans="1:3">
      <c r="C93" s="25"/>
    </row>
  </sheetData>
  <mergeCells count="16">
    <mergeCell ref="B42:K42"/>
    <mergeCell ref="B1:K1"/>
    <mergeCell ref="B53:K53"/>
    <mergeCell ref="B52:K52"/>
    <mergeCell ref="I5:K5"/>
    <mergeCell ref="B2:K2"/>
    <mergeCell ref="C5:E5"/>
    <mergeCell ref="F5:H5"/>
    <mergeCell ref="D3:K3"/>
    <mergeCell ref="B12:K12"/>
    <mergeCell ref="B5:B6"/>
    <mergeCell ref="B22:K22"/>
    <mergeCell ref="F23:K31"/>
    <mergeCell ref="B32:K32"/>
    <mergeCell ref="F43:K51"/>
    <mergeCell ref="F33:K41"/>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sheetPr codeName="Sheet44"/>
  <dimension ref="A1:Q80"/>
  <sheetViews>
    <sheetView topLeftCell="B1" zoomScale="85" zoomScaleNormal="85" workbookViewId="0">
      <selection activeCell="F23" sqref="F23:K31"/>
    </sheetView>
  </sheetViews>
  <sheetFormatPr defaultColWidth="9.140625" defaultRowHeight="12"/>
  <cols>
    <col min="1" max="1" width="12.85546875" style="22" hidden="1" customWidth="1"/>
    <col min="2" max="2" width="54.140625" style="22" bestFit="1" customWidth="1"/>
    <col min="3" max="11" width="11.42578125" style="22" customWidth="1"/>
    <col min="12" max="12" width="21.140625" style="22" customWidth="1"/>
    <col min="13" max="13" width="18.7109375" style="22" customWidth="1"/>
    <col min="14" max="14" width="26.7109375" style="22" customWidth="1"/>
    <col min="15" max="15" width="32.140625" style="22" customWidth="1"/>
    <col min="16" max="17" width="13.5703125" style="22" bestFit="1" customWidth="1"/>
    <col min="18" max="16384" width="9.140625" style="22"/>
  </cols>
  <sheetData>
    <row r="1" spans="1:11" ht="30.75" customHeight="1" thickBot="1">
      <c r="B1" s="521" t="s">
        <v>411</v>
      </c>
      <c r="C1" s="521"/>
      <c r="D1" s="521"/>
      <c r="E1" s="521"/>
      <c r="F1" s="521"/>
      <c r="G1" s="521"/>
      <c r="H1" s="521"/>
      <c r="I1" s="521"/>
      <c r="J1" s="521"/>
      <c r="K1" s="521"/>
    </row>
    <row r="2" spans="1:11" s="3" customFormat="1" ht="15">
      <c r="B2" s="338" t="s">
        <v>413</v>
      </c>
      <c r="C2" s="336"/>
      <c r="D2" s="336"/>
      <c r="E2" s="336"/>
      <c r="F2" s="336"/>
      <c r="G2" s="336"/>
      <c r="H2" s="336"/>
      <c r="I2" s="336"/>
      <c r="J2" s="336"/>
      <c r="K2" s="337"/>
    </row>
    <row r="3" spans="1:11" s="3" customFormat="1" ht="15">
      <c r="B3" s="4" t="s">
        <v>180</v>
      </c>
      <c r="C3" s="5">
        <v>20</v>
      </c>
      <c r="D3" s="374"/>
      <c r="E3" s="374"/>
      <c r="F3" s="374"/>
      <c r="G3" s="374"/>
      <c r="H3" s="374"/>
      <c r="I3" s="374"/>
      <c r="J3" s="374"/>
      <c r="K3" s="375"/>
    </row>
    <row r="4" spans="1:11" s="3" customFormat="1" ht="15" hidden="1">
      <c r="B4" s="7" t="s">
        <v>254</v>
      </c>
      <c r="C4" s="6" t="s">
        <v>255</v>
      </c>
      <c r="D4" s="374"/>
      <c r="E4" s="374"/>
      <c r="F4" s="374"/>
      <c r="G4" s="374"/>
      <c r="H4" s="374"/>
      <c r="I4" s="374"/>
      <c r="J4" s="374"/>
      <c r="K4" s="375"/>
    </row>
    <row r="5" spans="1:11" s="3" customFormat="1" ht="15">
      <c r="B5" s="383"/>
      <c r="C5" s="376" t="s">
        <v>175</v>
      </c>
      <c r="D5" s="376"/>
      <c r="E5" s="376"/>
      <c r="F5" s="376" t="s">
        <v>176</v>
      </c>
      <c r="G5" s="376"/>
      <c r="H5" s="376"/>
      <c r="I5" s="328" t="s">
        <v>19</v>
      </c>
      <c r="J5" s="328"/>
      <c r="K5" s="386"/>
    </row>
    <row r="6" spans="1:11" s="3" customFormat="1" ht="15">
      <c r="B6" s="383"/>
      <c r="C6" s="18" t="s">
        <v>252</v>
      </c>
      <c r="D6" s="18" t="s">
        <v>18</v>
      </c>
      <c r="E6" s="18" t="s">
        <v>253</v>
      </c>
      <c r="F6" s="18" t="s">
        <v>252</v>
      </c>
      <c r="G6" s="18" t="s">
        <v>18</v>
      </c>
      <c r="H6" s="18" t="s">
        <v>253</v>
      </c>
      <c r="I6" s="18" t="s">
        <v>252</v>
      </c>
      <c r="J6" s="18" t="s">
        <v>18</v>
      </c>
      <c r="K6" s="19" t="s">
        <v>253</v>
      </c>
    </row>
    <row r="7" spans="1:11" s="3" customFormat="1" ht="15">
      <c r="B7" s="7" t="s">
        <v>257</v>
      </c>
      <c r="C7" s="6">
        <v>10900</v>
      </c>
      <c r="D7" s="6">
        <v>18150</v>
      </c>
      <c r="E7" s="6">
        <v>36300</v>
      </c>
      <c r="F7" s="6">
        <f>C7*2</f>
        <v>21800</v>
      </c>
      <c r="G7" s="6">
        <f>D7*2</f>
        <v>36300</v>
      </c>
      <c r="H7" s="6">
        <f>E7*2</f>
        <v>72600</v>
      </c>
      <c r="I7" s="6">
        <f t="shared" ref="I7:K8" si="0">AVERAGE(C7,F7)</f>
        <v>16350</v>
      </c>
      <c r="J7" s="6">
        <f t="shared" si="0"/>
        <v>27225</v>
      </c>
      <c r="K7" s="8">
        <f t="shared" si="0"/>
        <v>54450</v>
      </c>
    </row>
    <row r="8" spans="1:11" s="3" customFormat="1" ht="15">
      <c r="B8" s="7" t="s">
        <v>258</v>
      </c>
      <c r="C8" s="6">
        <f t="shared" ref="C8:H8" si="1">C7*CCI_2006</f>
        <v>12377.989936782351</v>
      </c>
      <c r="D8" s="6">
        <f t="shared" si="1"/>
        <v>20611.05663785318</v>
      </c>
      <c r="E8" s="6">
        <f t="shared" si="1"/>
        <v>41222.113275706361</v>
      </c>
      <c r="F8" s="6">
        <f t="shared" si="1"/>
        <v>24755.979873564702</v>
      </c>
      <c r="G8" s="6">
        <f t="shared" si="1"/>
        <v>41222.113275706361</v>
      </c>
      <c r="H8" s="6">
        <f t="shared" si="1"/>
        <v>82444.226551412721</v>
      </c>
      <c r="I8" s="6">
        <f t="shared" si="0"/>
        <v>18566.984905173525</v>
      </c>
      <c r="J8" s="6">
        <f t="shared" si="0"/>
        <v>30916.58495677977</v>
      </c>
      <c r="K8" s="8">
        <f t="shared" si="0"/>
        <v>61833.169913559541</v>
      </c>
    </row>
    <row r="9" spans="1:11" s="3" customFormat="1" ht="15">
      <c r="B9" s="7" t="s">
        <v>262</v>
      </c>
      <c r="C9" s="6">
        <f>C8*LOW_DE</f>
        <v>618.89949683911755</v>
      </c>
      <c r="D9" s="6">
        <f>D8*MID_DE</f>
        <v>4637.4877435169665</v>
      </c>
      <c r="E9" s="6">
        <f>E8*HIGH_DE</f>
        <v>16488.845310282544</v>
      </c>
      <c r="F9" s="6">
        <f>F8*LOW_DE</f>
        <v>1237.7989936782351</v>
      </c>
      <c r="G9" s="6">
        <f>G8*MID_DE</f>
        <v>9274.9754870339329</v>
      </c>
      <c r="H9" s="6">
        <f>H8*HIGH_DE</f>
        <v>32977.690620565088</v>
      </c>
      <c r="I9" s="6">
        <f>I8*LOW_DE</f>
        <v>928.34924525867632</v>
      </c>
      <c r="J9" s="6">
        <f>J8*MID_DE</f>
        <v>6956.2316152754493</v>
      </c>
      <c r="K9" s="8">
        <f>K8*HIGH_DE</f>
        <v>24733.267965423816</v>
      </c>
    </row>
    <row r="10" spans="1:11" s="3" customFormat="1" ht="15">
      <c r="B10" s="7" t="s">
        <v>412</v>
      </c>
      <c r="C10" s="45">
        <v>0.04</v>
      </c>
      <c r="D10" s="45">
        <v>0.04</v>
      </c>
      <c r="E10" s="45">
        <v>0.04</v>
      </c>
      <c r="F10" s="45">
        <v>0.04</v>
      </c>
      <c r="G10" s="45">
        <v>0.04</v>
      </c>
      <c r="H10" s="45">
        <v>0.04</v>
      </c>
      <c r="I10" s="45">
        <v>0.04</v>
      </c>
      <c r="J10" s="45">
        <v>0.04</v>
      </c>
      <c r="K10" s="45">
        <v>0.04</v>
      </c>
    </row>
    <row r="11" spans="1:11" s="3" customFormat="1" ht="15">
      <c r="B11" s="7" t="s">
        <v>263</v>
      </c>
      <c r="C11" s="6">
        <f>C8*LOW_OM</f>
        <v>618.89949683911755</v>
      </c>
      <c r="D11" s="6">
        <f>D8*MED_OM</f>
        <v>1030.552831892659</v>
      </c>
      <c r="E11" s="6">
        <f>E8*HIGH_OM</f>
        <v>2061.105663785318</v>
      </c>
      <c r="F11" s="6">
        <f>F8*LOW_OM</f>
        <v>1237.7989936782351</v>
      </c>
      <c r="G11" s="6">
        <f>G8*MED_OM</f>
        <v>2061.105663785318</v>
      </c>
      <c r="H11" s="6">
        <f>H8*HIGH_OM</f>
        <v>4122.2113275706361</v>
      </c>
      <c r="I11" s="6">
        <f>I8*LOW_OM</f>
        <v>928.34924525867632</v>
      </c>
      <c r="J11" s="6">
        <f>J8*MED_OM</f>
        <v>1545.8292478389885</v>
      </c>
      <c r="K11" s="8">
        <f>K8*HIGH_OM</f>
        <v>3091.658495677977</v>
      </c>
    </row>
    <row r="12" spans="1:11" s="3" customFormat="1" ht="15">
      <c r="B12" s="383"/>
      <c r="C12" s="384"/>
      <c r="D12" s="384"/>
      <c r="E12" s="384"/>
      <c r="F12" s="384"/>
      <c r="G12" s="384"/>
      <c r="H12" s="384"/>
      <c r="I12" s="384"/>
      <c r="J12" s="384"/>
      <c r="K12" s="385"/>
    </row>
    <row r="13" spans="1:11" s="3" customFormat="1" ht="15">
      <c r="B13" s="4" t="s">
        <v>241</v>
      </c>
      <c r="C13" s="20" t="s">
        <v>207</v>
      </c>
      <c r="D13" s="20" t="s">
        <v>18</v>
      </c>
      <c r="E13" s="20" t="s">
        <v>208</v>
      </c>
      <c r="F13" s="35"/>
      <c r="G13" s="36"/>
      <c r="H13" s="36"/>
      <c r="I13" s="36"/>
      <c r="J13" s="36"/>
      <c r="K13" s="37"/>
    </row>
    <row r="14" spans="1:11" s="3" customFormat="1" ht="15">
      <c r="A14" s="9" t="s">
        <v>57</v>
      </c>
      <c r="B14" s="7" t="s">
        <v>57</v>
      </c>
      <c r="C14" s="10">
        <f t="shared" ref="C14:E21" ca="1" si="2">(-PMT(Annual_rate,$C$3,I$8+I$9)+INDIRECT(CONCATENATE("land_cost_",$A14))*Project_Acres_Developable*Annual_rate*I$10+I$11)*INDIRECT(CONCATENATE($A14,"_IMPERVIOUS"))</f>
        <v>753.04521371842463</v>
      </c>
      <c r="D14" s="10">
        <f t="shared" ca="1" si="2"/>
        <v>1362.0388510817768</v>
      </c>
      <c r="E14" s="10">
        <f t="shared" ca="1" si="2"/>
        <v>2952.2789962236616</v>
      </c>
      <c r="F14" s="285" t="str">
        <f t="shared" ref="F14:H21" ca="1" si="3">IF((-PMT(Annual_rate,$C$3,C24)+Annual_rate*C34+C44)=C14,"","Check")</f>
        <v/>
      </c>
      <c r="G14" s="287" t="str">
        <f t="shared" ca="1" si="3"/>
        <v/>
      </c>
      <c r="H14" s="287" t="str">
        <f t="shared" ca="1" si="3"/>
        <v/>
      </c>
      <c r="I14" s="12"/>
      <c r="J14" s="12"/>
      <c r="K14" s="39"/>
    </row>
    <row r="15" spans="1:11" s="3" customFormat="1" ht="15">
      <c r="A15" s="9" t="s">
        <v>266</v>
      </c>
      <c r="B15" s="9" t="s">
        <v>266</v>
      </c>
      <c r="C15" s="10">
        <f t="shared" ca="1" si="2"/>
        <v>1491.7076753724671</v>
      </c>
      <c r="D15" s="10">
        <f t="shared" ca="1" si="2"/>
        <v>2698.0635044231108</v>
      </c>
      <c r="E15" s="10">
        <f t="shared" ca="1" si="2"/>
        <v>5848.1710769553601</v>
      </c>
      <c r="F15" s="285" t="str">
        <f t="shared" ca="1" si="3"/>
        <v/>
      </c>
      <c r="G15" s="287" t="str">
        <f t="shared" ca="1" si="3"/>
        <v/>
      </c>
      <c r="H15" s="287" t="str">
        <f t="shared" ca="1" si="3"/>
        <v/>
      </c>
      <c r="I15" s="12"/>
      <c r="J15" s="12"/>
      <c r="K15" s="39"/>
    </row>
    <row r="16" spans="1:11" s="3" customFormat="1" ht="15">
      <c r="A16" s="9" t="s">
        <v>267</v>
      </c>
      <c r="B16" s="9" t="s">
        <v>267</v>
      </c>
      <c r="C16" s="10">
        <f t="shared" ca="1" si="2"/>
        <v>707.56268287498892</v>
      </c>
      <c r="D16" s="10">
        <f t="shared" ca="1" si="2"/>
        <v>1279.7742367853923</v>
      </c>
      <c r="E16" s="10">
        <f t="shared" ca="1" si="2"/>
        <v>2773.9668337425674</v>
      </c>
      <c r="F16" s="285" t="str">
        <f t="shared" ca="1" si="3"/>
        <v/>
      </c>
      <c r="G16" s="287" t="str">
        <f t="shared" ca="1" si="3"/>
        <v/>
      </c>
      <c r="H16" s="287" t="str">
        <f t="shared" ca="1" si="3"/>
        <v/>
      </c>
      <c r="I16" s="12"/>
      <c r="J16" s="12"/>
      <c r="K16" s="39"/>
    </row>
    <row r="17" spans="1:11" s="3" customFormat="1" ht="15">
      <c r="A17" s="9" t="s">
        <v>268</v>
      </c>
      <c r="B17" s="9" t="s">
        <v>268</v>
      </c>
      <c r="C17" s="10">
        <f t="shared" ca="1" si="2"/>
        <v>737.14724542552017</v>
      </c>
      <c r="D17" s="10">
        <f t="shared" ca="1" si="2"/>
        <v>1333.2840697303627</v>
      </c>
      <c r="E17" s="10">
        <f t="shared" ca="1" si="2"/>
        <v>2889.9517454573861</v>
      </c>
      <c r="F17" s="285" t="str">
        <f t="shared" ca="1" si="3"/>
        <v/>
      </c>
      <c r="G17" s="287" t="str">
        <f t="shared" ca="1" si="3"/>
        <v/>
      </c>
      <c r="H17" s="287" t="str">
        <f t="shared" ca="1" si="3"/>
        <v/>
      </c>
      <c r="I17" s="12"/>
      <c r="J17" s="12"/>
      <c r="K17" s="39"/>
    </row>
    <row r="18" spans="1:11" s="3" customFormat="1" ht="15">
      <c r="A18" s="9" t="s">
        <v>269</v>
      </c>
      <c r="B18" s="9" t="s">
        <v>269</v>
      </c>
      <c r="C18" s="10">
        <f t="shared" ca="1" si="2"/>
        <v>785.85805646495487</v>
      </c>
      <c r="D18" s="10">
        <f t="shared" ca="1" si="2"/>
        <v>1421.3877000234318</v>
      </c>
      <c r="E18" s="10">
        <f t="shared" ca="1" si="2"/>
        <v>3080.9202314140803</v>
      </c>
      <c r="F18" s="285" t="str">
        <f t="shared" ca="1" si="3"/>
        <v/>
      </c>
      <c r="G18" s="287" t="str">
        <f t="shared" ca="1" si="3"/>
        <v/>
      </c>
      <c r="H18" s="287" t="str">
        <f t="shared" ca="1" si="3"/>
        <v/>
      </c>
      <c r="I18" s="12"/>
      <c r="J18" s="12"/>
      <c r="K18" s="39"/>
    </row>
    <row r="19" spans="1:11" s="3" customFormat="1" ht="15">
      <c r="A19" s="9" t="s">
        <v>270</v>
      </c>
      <c r="B19" s="9" t="s">
        <v>270</v>
      </c>
      <c r="C19" s="10">
        <f t="shared" ca="1" si="2"/>
        <v>738.35340195492336</v>
      </c>
      <c r="D19" s="10">
        <f t="shared" ca="1" si="2"/>
        <v>1335.4656546121271</v>
      </c>
      <c r="E19" s="10">
        <f t="shared" ca="1" si="2"/>
        <v>2894.680426448972</v>
      </c>
      <c r="F19" s="285" t="str">
        <f t="shared" ca="1" si="3"/>
        <v/>
      </c>
      <c r="G19" s="287" t="str">
        <f t="shared" ca="1" si="3"/>
        <v/>
      </c>
      <c r="H19" s="287" t="str">
        <f t="shared" ca="1" si="3"/>
        <v/>
      </c>
      <c r="I19" s="12"/>
      <c r="J19" s="12"/>
      <c r="K19" s="39"/>
    </row>
    <row r="20" spans="1:11" s="3" customFormat="1" ht="15">
      <c r="A20" s="9" t="s">
        <v>271</v>
      </c>
      <c r="B20" s="9" t="s">
        <v>271</v>
      </c>
      <c r="C20" s="10">
        <f t="shared" ca="1" si="2"/>
        <v>761.23771608633217</v>
      </c>
      <c r="D20" s="10">
        <f t="shared" ca="1" si="2"/>
        <v>1376.8566950961761</v>
      </c>
      <c r="E20" s="10">
        <f t="shared" ca="1" si="2"/>
        <v>2984.3973235520521</v>
      </c>
      <c r="F20" s="285" t="str">
        <f t="shared" ca="1" si="3"/>
        <v/>
      </c>
      <c r="G20" s="287" t="str">
        <f t="shared" ca="1" si="3"/>
        <v/>
      </c>
      <c r="H20" s="287" t="str">
        <f t="shared" ca="1" si="3"/>
        <v/>
      </c>
      <c r="I20" s="12"/>
      <c r="J20" s="12"/>
      <c r="K20" s="39"/>
    </row>
    <row r="21" spans="1:11" s="3" customFormat="1" ht="15">
      <c r="A21" s="9" t="s">
        <v>272</v>
      </c>
      <c r="B21" s="9" t="s">
        <v>272</v>
      </c>
      <c r="C21" s="10">
        <f t="shared" ca="1" si="2"/>
        <v>735.27873229139129</v>
      </c>
      <c r="D21" s="10">
        <f t="shared" ca="1" si="2"/>
        <v>1329.9044752039288</v>
      </c>
      <c r="E21" s="10">
        <f t="shared" ca="1" si="2"/>
        <v>2882.6263259745137</v>
      </c>
      <c r="F21" s="285" t="str">
        <f t="shared" ca="1" si="3"/>
        <v/>
      </c>
      <c r="G21" s="289" t="str">
        <f t="shared" ca="1" si="3"/>
        <v/>
      </c>
      <c r="H21" s="287" t="str">
        <f t="shared" ca="1" si="3"/>
        <v/>
      </c>
      <c r="I21" s="41"/>
      <c r="J21" s="41"/>
      <c r="K21" s="42"/>
    </row>
    <row r="22" spans="1:11" s="3" customFormat="1" ht="15">
      <c r="B22" s="383"/>
      <c r="C22" s="384"/>
      <c r="D22" s="384"/>
      <c r="E22" s="384"/>
      <c r="F22" s="384"/>
      <c r="G22" s="421"/>
      <c r="H22" s="384"/>
      <c r="I22" s="384"/>
      <c r="J22" s="384"/>
      <c r="K22" s="385"/>
    </row>
    <row r="23" spans="1:11" s="3" customFormat="1" ht="15">
      <c r="B23" s="4" t="s">
        <v>288</v>
      </c>
      <c r="C23" s="236" t="s">
        <v>207</v>
      </c>
      <c r="D23" s="236" t="s">
        <v>18</v>
      </c>
      <c r="E23" s="236" t="s">
        <v>208</v>
      </c>
      <c r="F23" s="388"/>
      <c r="G23" s="388"/>
      <c r="H23" s="388"/>
      <c r="I23" s="388"/>
      <c r="J23" s="388"/>
      <c r="K23" s="389"/>
    </row>
    <row r="24" spans="1:11" s="3" customFormat="1" ht="15">
      <c r="A24" s="9" t="s">
        <v>57</v>
      </c>
      <c r="B24" s="7" t="s">
        <v>57</v>
      </c>
      <c r="C24" s="10">
        <f ca="1">(I$8+I$9)*INDIRECT(CONCATENATE($A24,"_IMPERVIOUS"))</f>
        <v>5047.450692280966</v>
      </c>
      <c r="D24" s="10">
        <f t="shared" ref="D24:E31" ca="1" si="4">(J$8+J$9)*INDIRECT(CONCATENATE($A24,"_IMPERVIOUS"))</f>
        <v>9805.4833402797667</v>
      </c>
      <c r="E24" s="10">
        <f t="shared" ca="1" si="4"/>
        <v>22412.533349210895</v>
      </c>
      <c r="F24" s="388"/>
      <c r="G24" s="388"/>
      <c r="H24" s="388"/>
      <c r="I24" s="388"/>
      <c r="J24" s="388"/>
      <c r="K24" s="389"/>
    </row>
    <row r="25" spans="1:11" s="3" customFormat="1" ht="15">
      <c r="A25" s="9" t="s">
        <v>266</v>
      </c>
      <c r="B25" s="9" t="s">
        <v>266</v>
      </c>
      <c r="C25" s="10">
        <f t="shared" ref="C25:C31" ca="1" si="5">(I$8+I$9)*INDIRECT(CONCATENATE($A25,"_IMPERVIOUS"))</f>
        <v>9998.4978346265943</v>
      </c>
      <c r="D25" s="10">
        <f t="shared" ca="1" si="4"/>
        <v>19423.687307175976</v>
      </c>
      <c r="E25" s="10">
        <f t="shared" ca="1" si="4"/>
        <v>44396.999559259377</v>
      </c>
      <c r="F25" s="388"/>
      <c r="G25" s="388"/>
      <c r="H25" s="388"/>
      <c r="I25" s="388"/>
      <c r="J25" s="388"/>
      <c r="K25" s="389"/>
    </row>
    <row r="26" spans="1:11" s="3" customFormat="1" ht="15">
      <c r="A26" s="9" t="s">
        <v>267</v>
      </c>
      <c r="B26" s="9" t="s">
        <v>267</v>
      </c>
      <c r="C26" s="10">
        <f t="shared" ca="1" si="5"/>
        <v>4742.594054710954</v>
      </c>
      <c r="D26" s="10">
        <f t="shared" ca="1" si="4"/>
        <v>9213.2503769270152</v>
      </c>
      <c r="E26" s="10">
        <f t="shared" ca="1" si="4"/>
        <v>21058.858004404603</v>
      </c>
      <c r="F26" s="388"/>
      <c r="G26" s="388"/>
      <c r="H26" s="388"/>
      <c r="I26" s="388"/>
      <c r="J26" s="388"/>
      <c r="K26" s="389"/>
    </row>
    <row r="27" spans="1:11" s="3" customFormat="1" ht="15">
      <c r="A27" s="9" t="s">
        <v>268</v>
      </c>
      <c r="B27" s="9" t="s">
        <v>268</v>
      </c>
      <c r="C27" s="10">
        <f t="shared" ca="1" si="5"/>
        <v>4940.8910732779477</v>
      </c>
      <c r="D27" s="10">
        <f t="shared" ca="1" si="4"/>
        <v>9598.4741721706923</v>
      </c>
      <c r="E27" s="10">
        <f t="shared" ca="1" si="4"/>
        <v>21939.369536390153</v>
      </c>
      <c r="F27" s="388"/>
      <c r="G27" s="388"/>
      <c r="H27" s="388"/>
      <c r="I27" s="388"/>
      <c r="J27" s="388"/>
      <c r="K27" s="389"/>
    </row>
    <row r="28" spans="1:11" s="3" customFormat="1" ht="15">
      <c r="A28" s="9" t="s">
        <v>269</v>
      </c>
      <c r="B28" s="9" t="s">
        <v>269</v>
      </c>
      <c r="C28" s="10">
        <f t="shared" ca="1" si="5"/>
        <v>5267.3859668428577</v>
      </c>
      <c r="D28" s="10">
        <f t="shared" ca="1" si="4"/>
        <v>10232.742921825462</v>
      </c>
      <c r="E28" s="10">
        <f t="shared" ca="1" si="4"/>
        <v>23389.126678458197</v>
      </c>
      <c r="F28" s="388"/>
      <c r="G28" s="388"/>
      <c r="H28" s="388"/>
      <c r="I28" s="388"/>
      <c r="J28" s="388"/>
      <c r="K28" s="389"/>
    </row>
    <row r="29" spans="1:11" s="3" customFormat="1" ht="15">
      <c r="A29" s="9" t="s">
        <v>270</v>
      </c>
      <c r="B29" s="9" t="s">
        <v>270</v>
      </c>
      <c r="C29" s="10">
        <f t="shared" ca="1" si="5"/>
        <v>4948.9756019336355</v>
      </c>
      <c r="D29" s="10">
        <f t="shared" ca="1" si="4"/>
        <v>9614.1796670591521</v>
      </c>
      <c r="E29" s="10">
        <f t="shared" ca="1" si="4"/>
        <v>21975.267810420915</v>
      </c>
      <c r="F29" s="388"/>
      <c r="G29" s="388"/>
      <c r="H29" s="388"/>
      <c r="I29" s="388"/>
      <c r="J29" s="388"/>
      <c r="K29" s="389"/>
    </row>
    <row r="30" spans="1:11" s="3" customFormat="1" ht="15">
      <c r="A30" s="9" t="s">
        <v>271</v>
      </c>
      <c r="B30" s="9" t="s">
        <v>271</v>
      </c>
      <c r="C30" s="10">
        <f t="shared" ca="1" si="5"/>
        <v>5102.3627360667861</v>
      </c>
      <c r="D30" s="10">
        <f t="shared" ca="1" si="4"/>
        <v>9912.1588014875415</v>
      </c>
      <c r="E30" s="10">
        <f t="shared" ca="1" si="4"/>
        <v>22656.362974828666</v>
      </c>
      <c r="F30" s="388"/>
      <c r="G30" s="388"/>
      <c r="H30" s="388"/>
      <c r="I30" s="388"/>
      <c r="J30" s="388"/>
      <c r="K30" s="389"/>
    </row>
    <row r="31" spans="1:11" s="3" customFormat="1" ht="15">
      <c r="A31" s="9" t="s">
        <v>272</v>
      </c>
      <c r="B31" s="9" t="s">
        <v>272</v>
      </c>
      <c r="C31" s="10">
        <f t="shared" ca="1" si="5"/>
        <v>4928.3669542203088</v>
      </c>
      <c r="D31" s="10">
        <f t="shared" ca="1" si="4"/>
        <v>9574.14406014817</v>
      </c>
      <c r="E31" s="10">
        <f t="shared" ca="1" si="4"/>
        <v>21883.757851767245</v>
      </c>
      <c r="F31" s="388"/>
      <c r="G31" s="388"/>
      <c r="H31" s="388"/>
      <c r="I31" s="388"/>
      <c r="J31" s="388"/>
      <c r="K31" s="389"/>
    </row>
    <row r="32" spans="1:11" s="3" customFormat="1" ht="15">
      <c r="B32" s="383"/>
      <c r="C32" s="384"/>
      <c r="D32" s="384"/>
      <c r="E32" s="384"/>
      <c r="F32" s="384"/>
      <c r="G32" s="384"/>
      <c r="H32" s="384"/>
      <c r="I32" s="384"/>
      <c r="J32" s="384"/>
      <c r="K32" s="385"/>
    </row>
    <row r="33" spans="1:11" s="3" customFormat="1" ht="15">
      <c r="B33" s="4" t="s">
        <v>475</v>
      </c>
      <c r="C33" s="262" t="s">
        <v>207</v>
      </c>
      <c r="D33" s="262" t="s">
        <v>18</v>
      </c>
      <c r="E33" s="262" t="s">
        <v>208</v>
      </c>
      <c r="F33" s="388"/>
      <c r="G33" s="388"/>
      <c r="H33" s="388"/>
      <c r="I33" s="388"/>
      <c r="J33" s="388"/>
      <c r="K33" s="389"/>
    </row>
    <row r="34" spans="1:11" s="3" customFormat="1" ht="15">
      <c r="A34" s="9" t="s">
        <v>57</v>
      </c>
      <c r="B34" s="7" t="s">
        <v>57</v>
      </c>
      <c r="C34" s="10">
        <f t="shared" ref="C34:E41" ca="1" si="6">(INDIRECT(CONCATENATE("LAND_COST_",$A34))*Project_Acres_Developable*I$10)*INDIRECT(CONCATENATE($A34,"_IMPERVIOUS"))</f>
        <v>517.81114940972338</v>
      </c>
      <c r="D34" s="10">
        <f t="shared" ca="1" si="6"/>
        <v>517.81114940972338</v>
      </c>
      <c r="E34" s="10">
        <f t="shared" ca="1" si="6"/>
        <v>517.81114940972338</v>
      </c>
      <c r="F34" s="388"/>
      <c r="G34" s="388"/>
      <c r="H34" s="388"/>
      <c r="I34" s="388"/>
      <c r="J34" s="388"/>
      <c r="K34" s="389"/>
    </row>
    <row r="35" spans="1:11" s="3" customFormat="1" ht="15">
      <c r="A35" s="9" t="s">
        <v>266</v>
      </c>
      <c r="B35" s="9" t="s">
        <v>266</v>
      </c>
      <c r="C35" s="10">
        <f t="shared" ca="1" si="6"/>
        <v>1025.7323888346825</v>
      </c>
      <c r="D35" s="10">
        <f t="shared" ca="1" si="6"/>
        <v>1025.7323888346825</v>
      </c>
      <c r="E35" s="10">
        <f t="shared" ca="1" si="6"/>
        <v>1025.7323888346825</v>
      </c>
      <c r="F35" s="388"/>
      <c r="G35" s="388"/>
      <c r="H35" s="388"/>
      <c r="I35" s="388"/>
      <c r="J35" s="388"/>
      <c r="K35" s="389"/>
    </row>
    <row r="36" spans="1:11" s="3" customFormat="1" ht="15">
      <c r="A36" s="9" t="s">
        <v>267</v>
      </c>
      <c r="B36" s="9" t="s">
        <v>267</v>
      </c>
      <c r="C36" s="10">
        <f t="shared" ca="1" si="6"/>
        <v>486.53631870226889</v>
      </c>
      <c r="D36" s="10">
        <f t="shared" ca="1" si="6"/>
        <v>486.53631870226889</v>
      </c>
      <c r="E36" s="10">
        <f t="shared" ca="1" si="6"/>
        <v>486.53631870226889</v>
      </c>
      <c r="F36" s="388"/>
      <c r="G36" s="388"/>
      <c r="H36" s="388"/>
      <c r="I36" s="388"/>
      <c r="J36" s="388"/>
      <c r="K36" s="389"/>
    </row>
    <row r="37" spans="1:11" s="3" customFormat="1" ht="15">
      <c r="A37" s="9" t="s">
        <v>268</v>
      </c>
      <c r="B37" s="9" t="s">
        <v>268</v>
      </c>
      <c r="C37" s="10">
        <f t="shared" ca="1" si="6"/>
        <v>506.87934201614195</v>
      </c>
      <c r="D37" s="10">
        <f t="shared" ca="1" si="6"/>
        <v>506.87934201614195</v>
      </c>
      <c r="E37" s="10">
        <f t="shared" ca="1" si="6"/>
        <v>506.87934201614195</v>
      </c>
      <c r="F37" s="388"/>
      <c r="G37" s="388"/>
      <c r="H37" s="388"/>
      <c r="I37" s="388"/>
      <c r="J37" s="388"/>
      <c r="K37" s="389"/>
    </row>
    <row r="38" spans="1:11" s="3" customFormat="1" ht="15">
      <c r="A38" s="9" t="s">
        <v>269</v>
      </c>
      <c r="B38" s="9" t="s">
        <v>269</v>
      </c>
      <c r="C38" s="10">
        <f t="shared" ca="1" si="6"/>
        <v>540.37401218137961</v>
      </c>
      <c r="D38" s="10">
        <f t="shared" ca="1" si="6"/>
        <v>540.37401218137961</v>
      </c>
      <c r="E38" s="10">
        <f t="shared" ca="1" si="6"/>
        <v>540.37401218137961</v>
      </c>
      <c r="F38" s="388"/>
      <c r="G38" s="388"/>
      <c r="H38" s="388"/>
      <c r="I38" s="388"/>
      <c r="J38" s="388"/>
      <c r="K38" s="389"/>
    </row>
    <row r="39" spans="1:11" s="3" customFormat="1" ht="15">
      <c r="A39" s="9" t="s">
        <v>270</v>
      </c>
      <c r="B39" s="9" t="s">
        <v>270</v>
      </c>
      <c r="C39" s="10">
        <f t="shared" ca="1" si="6"/>
        <v>507.70872289192539</v>
      </c>
      <c r="D39" s="10">
        <f t="shared" ca="1" si="6"/>
        <v>507.70872289192539</v>
      </c>
      <c r="E39" s="10">
        <f t="shared" ca="1" si="6"/>
        <v>507.70872289192539</v>
      </c>
      <c r="F39" s="388"/>
      <c r="G39" s="388"/>
      <c r="H39" s="388"/>
      <c r="I39" s="388"/>
      <c r="J39" s="388"/>
      <c r="K39" s="389"/>
    </row>
    <row r="40" spans="1:11" s="3" customFormat="1" ht="15">
      <c r="A40" s="9" t="s">
        <v>271</v>
      </c>
      <c r="B40" s="9" t="s">
        <v>271</v>
      </c>
      <c r="C40" s="10">
        <f t="shared" ca="1" si="6"/>
        <v>523.44450181723812</v>
      </c>
      <c r="D40" s="10">
        <f t="shared" ca="1" si="6"/>
        <v>523.44450181723812</v>
      </c>
      <c r="E40" s="10">
        <f t="shared" ca="1" si="6"/>
        <v>523.44450181723812</v>
      </c>
      <c r="F40" s="388"/>
      <c r="G40" s="388"/>
      <c r="H40" s="388"/>
      <c r="I40" s="388"/>
      <c r="J40" s="388"/>
      <c r="K40" s="389"/>
    </row>
    <row r="41" spans="1:11" s="3" customFormat="1" ht="15">
      <c r="A41" s="9" t="s">
        <v>272</v>
      </c>
      <c r="B41" s="9" t="s">
        <v>272</v>
      </c>
      <c r="C41" s="10">
        <f t="shared" ca="1" si="6"/>
        <v>505.59450955715471</v>
      </c>
      <c r="D41" s="10">
        <f t="shared" ca="1" si="6"/>
        <v>505.59450955715471</v>
      </c>
      <c r="E41" s="10">
        <f t="shared" ca="1" si="6"/>
        <v>505.59450955715471</v>
      </c>
      <c r="F41" s="388"/>
      <c r="G41" s="388"/>
      <c r="H41" s="388"/>
      <c r="I41" s="388"/>
      <c r="J41" s="388"/>
      <c r="K41" s="389"/>
    </row>
    <row r="42" spans="1:11" s="3" customFormat="1" ht="15">
      <c r="B42" s="383"/>
      <c r="C42" s="384"/>
      <c r="D42" s="384"/>
      <c r="E42" s="384"/>
      <c r="F42" s="384"/>
      <c r="G42" s="384"/>
      <c r="H42" s="384"/>
      <c r="I42" s="384"/>
      <c r="J42" s="384"/>
      <c r="K42" s="385"/>
    </row>
    <row r="43" spans="1:11" s="3" customFormat="1" ht="15">
      <c r="B43" s="4" t="s">
        <v>289</v>
      </c>
      <c r="C43" s="236" t="s">
        <v>207</v>
      </c>
      <c r="D43" s="236" t="s">
        <v>18</v>
      </c>
      <c r="E43" s="236" t="s">
        <v>208</v>
      </c>
      <c r="F43" s="388"/>
      <c r="G43" s="388"/>
      <c r="H43" s="388"/>
      <c r="I43" s="388"/>
      <c r="J43" s="388"/>
      <c r="K43" s="389"/>
    </row>
    <row r="44" spans="1:11" s="3" customFormat="1" ht="15">
      <c r="A44" s="9" t="s">
        <v>57</v>
      </c>
      <c r="B44" s="7" t="s">
        <v>57</v>
      </c>
      <c r="C44" s="10">
        <f ca="1">I$11*INDIRECT(CONCATENATE($A44,"_IMPERVIOUS"))</f>
        <v>240.3547948705222</v>
      </c>
      <c r="D44" s="10">
        <f t="shared" ref="D44:E44" ca="1" si="7">J$11*INDIRECT(CONCATENATE($A44,"_IMPERVIOUS"))</f>
        <v>400.22380980733743</v>
      </c>
      <c r="E44" s="10">
        <f t="shared" ca="1" si="7"/>
        <v>800.44761961467486</v>
      </c>
      <c r="F44" s="388"/>
      <c r="G44" s="388"/>
      <c r="H44" s="388"/>
      <c r="I44" s="388"/>
      <c r="J44" s="388"/>
      <c r="K44" s="389"/>
    </row>
    <row r="45" spans="1:11" s="3" customFormat="1" ht="15">
      <c r="A45" s="9" t="s">
        <v>266</v>
      </c>
      <c r="B45" s="9" t="s">
        <v>266</v>
      </c>
      <c r="C45" s="10">
        <f t="shared" ref="C45:C51" ca="1" si="8">I$11*INDIRECT(CONCATENATE($A45,"_IMPERVIOUS"))</f>
        <v>476.1189445060283</v>
      </c>
      <c r="D45" s="10">
        <f t="shared" ref="D45:D51" ca="1" si="9">J$11*INDIRECT(CONCATENATE($A45,"_IMPERVIOUS"))</f>
        <v>792.80356355820311</v>
      </c>
      <c r="E45" s="10">
        <f t="shared" ref="E45:E51" ca="1" si="10">K$11*INDIRECT(CONCATENATE($A45,"_IMPERVIOUS"))</f>
        <v>1585.6071271164062</v>
      </c>
      <c r="F45" s="388"/>
      <c r="G45" s="388"/>
      <c r="H45" s="388"/>
      <c r="I45" s="388"/>
      <c r="J45" s="388"/>
      <c r="K45" s="389"/>
    </row>
    <row r="46" spans="1:11" s="3" customFormat="1" ht="15">
      <c r="A46" s="9" t="s">
        <v>267</v>
      </c>
      <c r="B46" s="9" t="s">
        <v>267</v>
      </c>
      <c r="C46" s="10">
        <f t="shared" ca="1" si="8"/>
        <v>225.83781212909307</v>
      </c>
      <c r="D46" s="10">
        <f t="shared" ca="1" si="9"/>
        <v>376.05103579293933</v>
      </c>
      <c r="E46" s="10">
        <f t="shared" ca="1" si="10"/>
        <v>752.10207158587866</v>
      </c>
      <c r="F46" s="388"/>
      <c r="G46" s="388"/>
      <c r="H46" s="388"/>
      <c r="I46" s="388"/>
      <c r="J46" s="388"/>
      <c r="K46" s="389"/>
    </row>
    <row r="47" spans="1:11" s="3" customFormat="1" ht="15">
      <c r="A47" s="9" t="s">
        <v>268</v>
      </c>
      <c r="B47" s="9" t="s">
        <v>268</v>
      </c>
      <c r="C47" s="10">
        <f t="shared" ca="1" si="8"/>
        <v>235.28052729894992</v>
      </c>
      <c r="D47" s="10">
        <f t="shared" ca="1" si="9"/>
        <v>391.77445600696706</v>
      </c>
      <c r="E47" s="10">
        <f t="shared" ca="1" si="10"/>
        <v>783.54891201393411</v>
      </c>
      <c r="F47" s="388"/>
      <c r="G47" s="388"/>
      <c r="H47" s="388"/>
      <c r="I47" s="388"/>
      <c r="J47" s="388"/>
      <c r="K47" s="389"/>
    </row>
    <row r="48" spans="1:11" s="3" customFormat="1" ht="15">
      <c r="A48" s="9" t="s">
        <v>269</v>
      </c>
      <c r="B48" s="9" t="s">
        <v>269</v>
      </c>
      <c r="C48" s="10">
        <f t="shared" ca="1" si="8"/>
        <v>250.82790318299325</v>
      </c>
      <c r="D48" s="10">
        <f t="shared" ca="1" si="9"/>
        <v>417.6629764010392</v>
      </c>
      <c r="E48" s="10">
        <f t="shared" ca="1" si="10"/>
        <v>835.3259528020784</v>
      </c>
      <c r="F48" s="388"/>
      <c r="G48" s="388"/>
      <c r="H48" s="388"/>
      <c r="I48" s="388"/>
      <c r="J48" s="388"/>
      <c r="K48" s="389"/>
    </row>
    <row r="49" spans="1:17" s="3" customFormat="1" ht="15">
      <c r="A49" s="9" t="s">
        <v>270</v>
      </c>
      <c r="B49" s="9" t="s">
        <v>270</v>
      </c>
      <c r="C49" s="10">
        <f t="shared" ca="1" si="8"/>
        <v>235.66550485398267</v>
      </c>
      <c r="D49" s="10">
        <f t="shared" ca="1" si="9"/>
        <v>392.41549661465922</v>
      </c>
      <c r="E49" s="10">
        <f t="shared" ca="1" si="10"/>
        <v>784.83099322931844</v>
      </c>
      <c r="F49" s="388"/>
      <c r="G49" s="388"/>
      <c r="H49" s="388"/>
      <c r="I49" s="388"/>
      <c r="J49" s="388"/>
      <c r="K49" s="389"/>
    </row>
    <row r="50" spans="1:17" s="3" customFormat="1" ht="15">
      <c r="A50" s="9" t="s">
        <v>271</v>
      </c>
      <c r="B50" s="9" t="s">
        <v>271</v>
      </c>
      <c r="C50" s="10">
        <f t="shared" ca="1" si="8"/>
        <v>242.9696540984184</v>
      </c>
      <c r="D50" s="10">
        <f t="shared" ca="1" si="9"/>
        <v>404.57791026479765</v>
      </c>
      <c r="E50" s="10">
        <f t="shared" ca="1" si="10"/>
        <v>809.1558205295953</v>
      </c>
      <c r="F50" s="388"/>
      <c r="G50" s="388"/>
      <c r="H50" s="388"/>
      <c r="I50" s="388"/>
      <c r="J50" s="388"/>
      <c r="K50" s="389"/>
    </row>
    <row r="51" spans="1:17" s="3" customFormat="1" ht="15">
      <c r="A51" s="9" t="s">
        <v>272</v>
      </c>
      <c r="B51" s="9" t="s">
        <v>272</v>
      </c>
      <c r="C51" s="10">
        <f t="shared" ca="1" si="8"/>
        <v>234.68414067715759</v>
      </c>
      <c r="D51" s="10">
        <f t="shared" ca="1" si="9"/>
        <v>390.78139021012936</v>
      </c>
      <c r="E51" s="10">
        <f t="shared" ca="1" si="10"/>
        <v>781.56278042025872</v>
      </c>
      <c r="F51" s="388"/>
      <c r="G51" s="388"/>
      <c r="H51" s="388"/>
      <c r="I51" s="388"/>
      <c r="J51" s="388"/>
      <c r="K51" s="389"/>
    </row>
    <row r="52" spans="1:17" s="3" customFormat="1" ht="15">
      <c r="B52" s="387" t="s">
        <v>242</v>
      </c>
      <c r="C52" s="388"/>
      <c r="D52" s="388"/>
      <c r="E52" s="388"/>
      <c r="F52" s="388"/>
      <c r="G52" s="388"/>
      <c r="H52" s="388"/>
      <c r="I52" s="388"/>
      <c r="J52" s="388"/>
      <c r="K52" s="389"/>
    </row>
    <row r="53" spans="1:17" s="3" customFormat="1" ht="15.75" thickBot="1">
      <c r="B53" s="380" t="s">
        <v>273</v>
      </c>
      <c r="C53" s="381"/>
      <c r="D53" s="381"/>
      <c r="E53" s="381"/>
      <c r="F53" s="381"/>
      <c r="G53" s="381"/>
      <c r="H53" s="381"/>
      <c r="I53" s="381"/>
      <c r="J53" s="381"/>
      <c r="K53" s="382"/>
    </row>
    <row r="54" spans="1:17" s="3" customFormat="1" ht="15">
      <c r="B54" s="13"/>
      <c r="C54" s="13"/>
      <c r="D54" s="13"/>
      <c r="E54" s="13"/>
      <c r="F54" s="13"/>
      <c r="G54" s="13"/>
      <c r="H54" s="13"/>
      <c r="I54" s="13"/>
      <c r="J54" s="13"/>
      <c r="K54" s="13"/>
    </row>
    <row r="55" spans="1:17" s="3" customFormat="1" ht="15">
      <c r="A55" s="15"/>
      <c r="B55" s="13"/>
      <c r="C55" s="13"/>
      <c r="D55" s="13"/>
      <c r="E55" s="13"/>
      <c r="F55" s="13"/>
      <c r="G55" s="13"/>
      <c r="H55" s="13"/>
      <c r="I55" s="13"/>
      <c r="J55" s="13"/>
      <c r="K55" s="13"/>
    </row>
    <row r="56" spans="1:17" s="3" customFormat="1" ht="15">
      <c r="B56" s="13"/>
      <c r="C56" s="13"/>
      <c r="D56" s="13"/>
      <c r="E56" s="13"/>
      <c r="F56" s="13"/>
      <c r="G56" s="13"/>
      <c r="H56" s="13"/>
      <c r="I56" s="13"/>
      <c r="J56" s="13"/>
      <c r="K56" s="13"/>
    </row>
    <row r="57" spans="1:17" ht="84" hidden="1">
      <c r="A57" s="1" t="s">
        <v>52</v>
      </c>
      <c r="B57" s="1" t="s">
        <v>50</v>
      </c>
      <c r="C57" s="1" t="s">
        <v>50</v>
      </c>
      <c r="D57" s="1" t="s">
        <v>50</v>
      </c>
      <c r="E57" s="1" t="s">
        <v>25</v>
      </c>
      <c r="F57" s="1" t="s">
        <v>49</v>
      </c>
      <c r="G57" s="2" t="s">
        <v>48</v>
      </c>
      <c r="H57" s="2" t="s">
        <v>48</v>
      </c>
      <c r="I57" s="1" t="s">
        <v>40</v>
      </c>
      <c r="J57" s="1" t="s">
        <v>40</v>
      </c>
      <c r="K57" s="2" t="s">
        <v>47</v>
      </c>
      <c r="L57" s="2" t="s">
        <v>42</v>
      </c>
      <c r="M57" s="2" t="s">
        <v>41</v>
      </c>
      <c r="N57" s="2" t="s">
        <v>44</v>
      </c>
      <c r="O57" s="2" t="s">
        <v>107</v>
      </c>
      <c r="P57" s="1" t="s">
        <v>40</v>
      </c>
      <c r="Q57" s="1" t="s">
        <v>40</v>
      </c>
    </row>
    <row r="58" spans="1:17" hidden="1">
      <c r="A58" s="22" t="s">
        <v>76</v>
      </c>
      <c r="B58" s="22" t="s">
        <v>33</v>
      </c>
      <c r="C58" s="22" t="s">
        <v>32</v>
      </c>
      <c r="D58" s="22" t="s">
        <v>31</v>
      </c>
      <c r="E58" s="22" t="s">
        <v>26</v>
      </c>
      <c r="F58" s="22" t="s">
        <v>29</v>
      </c>
      <c r="G58" s="22" t="s">
        <v>45</v>
      </c>
      <c r="H58" s="22" t="s">
        <v>45</v>
      </c>
      <c r="I58" s="22" t="s">
        <v>23</v>
      </c>
      <c r="J58" s="22" t="s">
        <v>23</v>
      </c>
      <c r="K58" s="22" t="s">
        <v>23</v>
      </c>
      <c r="L58" s="22" t="s">
        <v>43</v>
      </c>
      <c r="M58" s="22" t="s">
        <v>23</v>
      </c>
      <c r="N58" s="22" t="s">
        <v>45</v>
      </c>
      <c r="O58" s="22" t="s">
        <v>45</v>
      </c>
      <c r="P58" s="22" t="s">
        <v>23</v>
      </c>
      <c r="Q58" s="22" t="s">
        <v>23</v>
      </c>
    </row>
    <row r="59" spans="1:17" hidden="1">
      <c r="A59" s="22" t="s">
        <v>34</v>
      </c>
      <c r="B59" s="22">
        <v>50</v>
      </c>
      <c r="C59" s="22">
        <v>30</v>
      </c>
      <c r="D59" s="22">
        <v>20</v>
      </c>
      <c r="E59" s="22">
        <v>29.666666666666668</v>
      </c>
      <c r="F59" s="22">
        <v>25</v>
      </c>
      <c r="G59" s="22">
        <v>29.666666666666668</v>
      </c>
      <c r="H59" s="22">
        <v>29.666666666666668</v>
      </c>
      <c r="I59" s="22">
        <v>29.666666666666668</v>
      </c>
      <c r="J59" s="22">
        <v>29.666666666666668</v>
      </c>
      <c r="K59" s="22">
        <v>29.666666666666668</v>
      </c>
      <c r="L59" s="22">
        <v>40</v>
      </c>
      <c r="M59" s="22">
        <v>29.666666666666668</v>
      </c>
      <c r="N59" s="22">
        <v>29.666666666666668</v>
      </c>
      <c r="O59" s="22">
        <v>50</v>
      </c>
      <c r="P59" s="22">
        <v>25</v>
      </c>
      <c r="Q59" s="22">
        <v>25</v>
      </c>
    </row>
    <row r="60" spans="1:17" hidden="1">
      <c r="A60" s="22" t="s">
        <v>46</v>
      </c>
      <c r="B60" s="22">
        <v>5.5</v>
      </c>
      <c r="C60" s="22">
        <v>15</v>
      </c>
      <c r="D60" s="22">
        <v>24</v>
      </c>
      <c r="E60" s="22">
        <v>2.953497869109931E-2</v>
      </c>
      <c r="F60" s="22">
        <v>12.400393947533351</v>
      </c>
      <c r="G60" s="22">
        <v>19.03809942254582</v>
      </c>
      <c r="H60" s="22">
        <v>15.86252602974406</v>
      </c>
      <c r="I60" s="22">
        <v>3.7201181842600057</v>
      </c>
      <c r="J60" s="22">
        <v>7.4402363685200115</v>
      </c>
      <c r="K60" s="22">
        <v>3.68</v>
      </c>
      <c r="L60" s="22">
        <v>18.73</v>
      </c>
      <c r="M60" s="22">
        <v>0.37878787878787878</v>
      </c>
      <c r="N60" s="22">
        <v>10.323327961321516</v>
      </c>
      <c r="O60" s="22">
        <v>1.2848755298942098</v>
      </c>
      <c r="P60" s="22">
        <v>12.400393947533351</v>
      </c>
      <c r="Q60" s="22">
        <v>7.4402363685200115</v>
      </c>
    </row>
    <row r="61" spans="1:17" hidden="1">
      <c r="A61" s="22" t="s">
        <v>53</v>
      </c>
      <c r="B61" s="22">
        <v>0.06</v>
      </c>
      <c r="C61" s="22">
        <v>0.12</v>
      </c>
      <c r="D61" s="22">
        <v>0.21</v>
      </c>
      <c r="E61" s="22">
        <v>1.7720987214659585E-3</v>
      </c>
      <c r="F61" s="22">
        <v>0.248007878950667</v>
      </c>
      <c r="G61" s="22">
        <v>1.1422859653527493</v>
      </c>
      <c r="H61" s="22">
        <v>0.95175156178464348</v>
      </c>
      <c r="I61" s="22">
        <v>7.4402363685200104E-2</v>
      </c>
      <c r="J61" s="22">
        <v>0.248007878950667</v>
      </c>
      <c r="K61" s="22">
        <v>0.2208</v>
      </c>
      <c r="L61" s="22">
        <v>0.25</v>
      </c>
      <c r="M61" s="22">
        <v>1.2098255280073461E-2</v>
      </c>
      <c r="N61" s="22">
        <v>0.64730056406124092</v>
      </c>
      <c r="O61" s="22">
        <v>1.5372389191157047E-2</v>
      </c>
      <c r="P61" s="22">
        <v>0.248007878950667</v>
      </c>
      <c r="Q61" s="22">
        <v>0.248007878950667</v>
      </c>
    </row>
    <row r="62" spans="1:17" hidden="1">
      <c r="A62" s="22" t="s">
        <v>35</v>
      </c>
      <c r="B62" s="22" t="s">
        <v>20</v>
      </c>
      <c r="C62" s="22" t="s">
        <v>20</v>
      </c>
      <c r="D62" s="22" t="s">
        <v>20</v>
      </c>
      <c r="E62" s="22" t="s">
        <v>20</v>
      </c>
      <c r="F62" s="22" t="s">
        <v>20</v>
      </c>
      <c r="G62" s="22" t="s">
        <v>20</v>
      </c>
      <c r="H62" s="22" t="s">
        <v>20</v>
      </c>
      <c r="I62" s="22" t="s">
        <v>20</v>
      </c>
      <c r="J62" s="22" t="s">
        <v>20</v>
      </c>
      <c r="K62" s="22" t="s">
        <v>20</v>
      </c>
      <c r="L62" s="22" t="s">
        <v>20</v>
      </c>
      <c r="M62" s="22" t="s">
        <v>20</v>
      </c>
      <c r="N62" s="22" t="s">
        <v>20</v>
      </c>
      <c r="O62" s="22" t="s">
        <v>20</v>
      </c>
      <c r="P62" s="22" t="s">
        <v>20</v>
      </c>
      <c r="Q62" s="22" t="s">
        <v>20</v>
      </c>
    </row>
    <row r="63" spans="1:17" hidden="1">
      <c r="A63" s="26" t="s">
        <v>54</v>
      </c>
      <c r="B63" s="22">
        <v>0.27376021942921525</v>
      </c>
      <c r="C63" s="22">
        <v>0.88528888980378861</v>
      </c>
      <c r="D63" s="22">
        <v>1.8231769823246191</v>
      </c>
      <c r="E63" s="22">
        <v>3.2894782797081006E-3</v>
      </c>
      <c r="F63" s="22">
        <v>0.96013610340399314</v>
      </c>
      <c r="G63" s="22">
        <v>2.1203812331261531</v>
      </c>
      <c r="H63" s="22">
        <v>1.7666995931123628</v>
      </c>
      <c r="I63" s="22">
        <v>0.26552595805373574</v>
      </c>
      <c r="J63" s="22">
        <v>0.63025506768773831</v>
      </c>
      <c r="K63" s="22">
        <v>0.40986249544760534</v>
      </c>
      <c r="L63" s="22">
        <v>1.0603043378883696</v>
      </c>
      <c r="M63" s="22">
        <v>3.1558739412937978E-2</v>
      </c>
      <c r="N63" s="22">
        <v>1.1776685384339274</v>
      </c>
      <c r="O63" s="22">
        <v>6.5309711956505326E-2</v>
      </c>
      <c r="P63" s="22">
        <v>0.96013610340399314</v>
      </c>
      <c r="Q63" s="22">
        <v>0.67528481362266268</v>
      </c>
    </row>
    <row r="64" spans="1:17" hidden="1">
      <c r="A64" s="26" t="s">
        <v>17</v>
      </c>
    </row>
    <row r="65" spans="1:2" hidden="1"/>
    <row r="66" spans="1:2" hidden="1"/>
    <row r="67" spans="1:2" hidden="1"/>
    <row r="68" spans="1:2" hidden="1">
      <c r="A68" s="21" t="s">
        <v>78</v>
      </c>
    </row>
    <row r="69" spans="1:2" hidden="1">
      <c r="A69" s="22" t="s">
        <v>108</v>
      </c>
    </row>
    <row r="70" spans="1:2" hidden="1"/>
    <row r="71" spans="1:2" hidden="1"/>
    <row r="72" spans="1:2" hidden="1">
      <c r="A72" s="1" t="s">
        <v>52</v>
      </c>
      <c r="B72" s="1" t="s">
        <v>157</v>
      </c>
    </row>
    <row r="73" spans="1:2" hidden="1">
      <c r="A73" s="22" t="s">
        <v>148</v>
      </c>
      <c r="B73" s="23" t="e">
        <f>B74*Pre_Construction_Cost</f>
        <v>#NAME?</v>
      </c>
    </row>
    <row r="74" spans="1:2" hidden="1">
      <c r="A74" s="22" t="s">
        <v>149</v>
      </c>
      <c r="B74" s="23">
        <v>30000</v>
      </c>
    </row>
    <row r="75" spans="1:2" hidden="1">
      <c r="A75" s="22" t="s">
        <v>150</v>
      </c>
      <c r="B75" s="23">
        <f>20.67*1.5</f>
        <v>31.005000000000003</v>
      </c>
    </row>
    <row r="76" spans="1:2" hidden="1">
      <c r="A76" s="22" t="s">
        <v>151</v>
      </c>
      <c r="B76" s="23">
        <f>B74*OM_High</f>
        <v>1500</v>
      </c>
    </row>
    <row r="77" spans="1:2" hidden="1">
      <c r="A77" s="25" t="s">
        <v>152</v>
      </c>
      <c r="B77" s="23">
        <f>B74*OM_Intermittent_Med</f>
        <v>600</v>
      </c>
    </row>
    <row r="78" spans="1:2" hidden="1">
      <c r="A78" s="24" t="s">
        <v>155</v>
      </c>
      <c r="B78" s="23">
        <f>SUM(B76:B77)</f>
        <v>2100</v>
      </c>
    </row>
    <row r="79" spans="1:2" hidden="1">
      <c r="A79" s="24" t="s">
        <v>159</v>
      </c>
      <c r="B79" s="23">
        <f>Land_Cost_Watershed*Project_Acres_Developable*4%</f>
        <v>2000</v>
      </c>
    </row>
    <row r="80" spans="1:2" hidden="1">
      <c r="A80" s="29" t="s">
        <v>154</v>
      </c>
    </row>
  </sheetData>
  <mergeCells count="16">
    <mergeCell ref="B42:K42"/>
    <mergeCell ref="B1:K1"/>
    <mergeCell ref="B53:K53"/>
    <mergeCell ref="B2:K2"/>
    <mergeCell ref="B12:K12"/>
    <mergeCell ref="D3:K4"/>
    <mergeCell ref="B5:B6"/>
    <mergeCell ref="I5:K5"/>
    <mergeCell ref="C5:E5"/>
    <mergeCell ref="F5:H5"/>
    <mergeCell ref="B52:K52"/>
    <mergeCell ref="B22:K22"/>
    <mergeCell ref="F23:K31"/>
    <mergeCell ref="B32:K32"/>
    <mergeCell ref="F43:K51"/>
    <mergeCell ref="F33:K41"/>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dimension ref="A1:E11"/>
  <sheetViews>
    <sheetView zoomScale="85" zoomScaleNormal="85" workbookViewId="0">
      <selection activeCell="A14" sqref="A14"/>
    </sheetView>
  </sheetViews>
  <sheetFormatPr defaultColWidth="9.140625" defaultRowHeight="15"/>
  <cols>
    <col min="1" max="1" width="28.42578125" style="31" bestFit="1" customWidth="1"/>
    <col min="2" max="2" width="16.140625" style="31" bestFit="1" customWidth="1"/>
    <col min="3" max="16384" width="9.140625" style="31"/>
  </cols>
  <sheetData>
    <row r="1" spans="1:5" ht="15.75" thickBot="1">
      <c r="A1" s="244" t="s">
        <v>414</v>
      </c>
      <c r="B1" s="245"/>
      <c r="C1" s="245"/>
      <c r="D1" s="245"/>
      <c r="E1" s="246"/>
    </row>
    <row r="2" spans="1:5">
      <c r="A2" s="461" t="s">
        <v>407</v>
      </c>
      <c r="B2" s="462"/>
      <c r="C2" s="462"/>
      <c r="D2" s="462"/>
      <c r="E2" s="463"/>
    </row>
    <row r="3" spans="1:5">
      <c r="A3" s="464"/>
      <c r="B3" s="465"/>
      <c r="C3" s="466"/>
      <c r="D3" s="467"/>
      <c r="E3" s="468"/>
    </row>
    <row r="4" spans="1:5">
      <c r="A4" s="172" t="s">
        <v>52</v>
      </c>
      <c r="B4" s="150" t="s">
        <v>415</v>
      </c>
      <c r="C4" s="416"/>
      <c r="D4" s="469"/>
      <c r="E4" s="417"/>
    </row>
    <row r="5" spans="1:5">
      <c r="A5" s="247" t="s">
        <v>416</v>
      </c>
      <c r="B5" s="250">
        <v>150000</v>
      </c>
      <c r="C5" s="416"/>
      <c r="D5" s="469"/>
      <c r="E5" s="417"/>
    </row>
    <row r="6" spans="1:5">
      <c r="A6" s="247" t="s">
        <v>417</v>
      </c>
      <c r="B6" s="250">
        <f>B5*CCI_2001</f>
        <v>208150.71732618634</v>
      </c>
      <c r="C6" s="416"/>
      <c r="D6" s="469"/>
      <c r="E6" s="417"/>
    </row>
    <row r="7" spans="1:5">
      <c r="A7" s="247" t="s">
        <v>422</v>
      </c>
      <c r="B7" s="251">
        <v>20</v>
      </c>
      <c r="C7" s="416"/>
      <c r="D7" s="469"/>
      <c r="E7" s="417"/>
    </row>
    <row r="8" spans="1:5">
      <c r="A8" s="105" t="s">
        <v>418</v>
      </c>
      <c r="B8" s="148">
        <f>-PMT(Annual_rate,B7,B6)</f>
        <v>19647.955203976115</v>
      </c>
      <c r="C8" s="416"/>
      <c r="D8" s="469"/>
      <c r="E8" s="417"/>
    </row>
    <row r="9" spans="1:5">
      <c r="A9" s="522" t="s">
        <v>419</v>
      </c>
      <c r="B9" s="523"/>
      <c r="C9" s="523"/>
      <c r="D9" s="523"/>
      <c r="E9" s="524"/>
    </row>
    <row r="10" spans="1:5">
      <c r="A10" s="123" t="s">
        <v>420</v>
      </c>
      <c r="B10" s="123"/>
      <c r="C10" s="123"/>
      <c r="D10" s="123"/>
      <c r="E10" s="33"/>
    </row>
    <row r="11" spans="1:5" ht="15.75" thickBot="1">
      <c r="A11" s="248" t="s">
        <v>421</v>
      </c>
      <c r="B11" s="248"/>
      <c r="C11" s="248"/>
      <c r="D11" s="248"/>
      <c r="E11" s="249"/>
    </row>
  </sheetData>
  <mergeCells count="4">
    <mergeCell ref="A2:E2"/>
    <mergeCell ref="A3:B3"/>
    <mergeCell ref="C3:E8"/>
    <mergeCell ref="A9:E9"/>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6">
    <tabColor theme="4" tint="-0.499984740745262"/>
  </sheetPr>
  <dimension ref="A1:H62"/>
  <sheetViews>
    <sheetView zoomScale="85" zoomScaleNormal="85" workbookViewId="0">
      <selection activeCell="C20" sqref="C20"/>
    </sheetView>
  </sheetViews>
  <sheetFormatPr defaultColWidth="9.140625" defaultRowHeight="15"/>
  <cols>
    <col min="1" max="1" width="46.140625" style="56" customWidth="1"/>
    <col min="2" max="2" width="12" style="56" bestFit="1" customWidth="1"/>
    <col min="3" max="3" width="6.7109375" style="56" bestFit="1" customWidth="1"/>
    <col min="4" max="4" width="41.42578125" style="56" bestFit="1" customWidth="1"/>
    <col min="5" max="5" width="13.7109375" style="56" bestFit="1" customWidth="1"/>
    <col min="6" max="6" width="17.5703125" style="56" customWidth="1"/>
    <col min="7" max="7" width="51.5703125" style="56" bestFit="1" customWidth="1"/>
    <col min="8" max="8" width="8.7109375" style="56" bestFit="1" customWidth="1"/>
    <col min="9" max="9" width="12.42578125" style="56" bestFit="1" customWidth="1"/>
    <col min="10" max="10" width="12.42578125" style="56" customWidth="1"/>
    <col min="11" max="11" width="16.140625" style="56" bestFit="1" customWidth="1"/>
    <col min="12" max="16384" width="9.140625" style="56"/>
  </cols>
  <sheetData>
    <row r="1" spans="1:8">
      <c r="A1" s="353" t="s">
        <v>312</v>
      </c>
      <c r="B1" s="354"/>
      <c r="C1" s="354"/>
      <c r="D1" s="354"/>
      <c r="E1" s="354"/>
      <c r="F1" s="354"/>
      <c r="G1" s="354"/>
      <c r="H1" s="354"/>
    </row>
    <row r="2" spans="1:8">
      <c r="A2" s="348" t="s">
        <v>51</v>
      </c>
      <c r="B2" s="349"/>
      <c r="C2" s="349"/>
      <c r="D2" s="255" t="s">
        <v>424</v>
      </c>
      <c r="E2" s="256"/>
      <c r="F2" s="257"/>
      <c r="G2" s="347"/>
      <c r="H2" s="350"/>
    </row>
    <row r="3" spans="1:8">
      <c r="A3" s="57" t="s">
        <v>126</v>
      </c>
      <c r="B3" s="58" t="s">
        <v>161</v>
      </c>
      <c r="C3" s="58" t="s">
        <v>127</v>
      </c>
      <c r="D3" s="253" t="s">
        <v>126</v>
      </c>
      <c r="E3" s="253" t="s">
        <v>425</v>
      </c>
      <c r="F3" s="253" t="s">
        <v>127</v>
      </c>
      <c r="G3" s="59" t="s">
        <v>231</v>
      </c>
      <c r="H3" s="60">
        <v>0.51286619441734127</v>
      </c>
    </row>
    <row r="4" spans="1:8">
      <c r="A4" s="61">
        <v>1990</v>
      </c>
      <c r="B4" s="62">
        <v>4732</v>
      </c>
      <c r="C4" s="63">
        <f>$B$24/B4</f>
        <v>1.8601014370245139</v>
      </c>
      <c r="D4" s="253">
        <v>1990</v>
      </c>
      <c r="E4" s="253">
        <v>99</v>
      </c>
      <c r="F4" s="253">
        <f t="shared" ref="F4:F24" si="0">$E$24/E4</f>
        <v>1.6262626262626263</v>
      </c>
      <c r="G4" s="59" t="s">
        <v>232</v>
      </c>
      <c r="H4" s="60">
        <v>0.24326815935113444</v>
      </c>
    </row>
    <row r="5" spans="1:8">
      <c r="A5" s="61">
        <v>1991</v>
      </c>
      <c r="B5" s="62">
        <v>4835</v>
      </c>
      <c r="C5" s="63">
        <f t="shared" ref="C5:C24" si="1">$B$24/B5</f>
        <v>1.8204756980351602</v>
      </c>
      <c r="D5" s="253">
        <v>1991</v>
      </c>
      <c r="E5" s="253">
        <v>100</v>
      </c>
      <c r="F5" s="253">
        <f t="shared" si="0"/>
        <v>1.61</v>
      </c>
      <c r="G5" s="59" t="s">
        <v>233</v>
      </c>
      <c r="H5" s="60">
        <v>0.25343967100807097</v>
      </c>
    </row>
    <row r="6" spans="1:8">
      <c r="A6" s="61">
        <v>1992</v>
      </c>
      <c r="B6" s="62">
        <v>4985</v>
      </c>
      <c r="C6" s="63">
        <f t="shared" si="1"/>
        <v>1.7656970912738215</v>
      </c>
      <c r="D6" s="253">
        <v>1992</v>
      </c>
      <c r="E6" s="254">
        <v>101</v>
      </c>
      <c r="F6" s="253">
        <f t="shared" si="0"/>
        <v>1.5940594059405941</v>
      </c>
      <c r="G6" s="59" t="s">
        <v>234</v>
      </c>
      <c r="H6" s="60">
        <v>0.2701870060906898</v>
      </c>
    </row>
    <row r="7" spans="1:8">
      <c r="A7" s="61">
        <v>1993</v>
      </c>
      <c r="B7" s="62">
        <v>5210</v>
      </c>
      <c r="C7" s="63">
        <f t="shared" si="1"/>
        <v>1.6894433781190019</v>
      </c>
      <c r="D7" s="253">
        <v>1993</v>
      </c>
      <c r="E7" s="254">
        <v>104</v>
      </c>
      <c r="F7" s="253">
        <f t="shared" si="0"/>
        <v>1.5480769230769231</v>
      </c>
      <c r="G7" s="59" t="s">
        <v>235</v>
      </c>
      <c r="H7" s="60">
        <v>0.25385436144596268</v>
      </c>
    </row>
    <row r="8" spans="1:8">
      <c r="A8" s="61">
        <v>1994</v>
      </c>
      <c r="B8" s="62">
        <v>5408</v>
      </c>
      <c r="C8" s="63">
        <f t="shared" si="1"/>
        <v>1.6275887573964498</v>
      </c>
      <c r="D8" s="253">
        <v>1994</v>
      </c>
      <c r="E8" s="254">
        <v>106</v>
      </c>
      <c r="F8" s="253">
        <f t="shared" si="0"/>
        <v>1.5188679245283019</v>
      </c>
      <c r="G8" s="59" t="s">
        <v>236</v>
      </c>
      <c r="H8" s="60">
        <v>0.26172225090861906</v>
      </c>
    </row>
    <row r="9" spans="1:8">
      <c r="A9" s="61">
        <v>1995</v>
      </c>
      <c r="B9" s="62">
        <v>5471</v>
      </c>
      <c r="C9" s="63">
        <f t="shared" si="1"/>
        <v>1.6088466459513799</v>
      </c>
      <c r="D9" s="253">
        <v>1995</v>
      </c>
      <c r="E9" s="254">
        <v>109</v>
      </c>
      <c r="F9" s="253">
        <f t="shared" si="0"/>
        <v>1.4770642201834863</v>
      </c>
      <c r="G9" s="59" t="s">
        <v>237</v>
      </c>
      <c r="H9" s="60">
        <v>0.25279725477857734</v>
      </c>
    </row>
    <row r="10" spans="1:8">
      <c r="A10" s="61">
        <v>1996</v>
      </c>
      <c r="B10" s="62">
        <v>5620</v>
      </c>
      <c r="C10" s="63">
        <f t="shared" si="1"/>
        <v>1.5661921708185054</v>
      </c>
      <c r="D10" s="253">
        <v>1996</v>
      </c>
      <c r="E10" s="254">
        <v>115</v>
      </c>
      <c r="F10" s="253">
        <f t="shared" si="0"/>
        <v>1.4</v>
      </c>
      <c r="G10" s="59" t="s">
        <v>238</v>
      </c>
      <c r="H10" s="60">
        <v>0.2589055747048617</v>
      </c>
    </row>
    <row r="11" spans="1:8">
      <c r="A11" s="61">
        <v>1997</v>
      </c>
      <c r="B11" s="62">
        <v>5826</v>
      </c>
      <c r="C11" s="63">
        <f t="shared" si="1"/>
        <v>1.5108135942327496</v>
      </c>
      <c r="D11" s="253">
        <v>1997</v>
      </c>
      <c r="E11" s="254">
        <v>118</v>
      </c>
      <c r="F11" s="253">
        <f t="shared" si="0"/>
        <v>1.3644067796610169</v>
      </c>
      <c r="G11" s="351"/>
      <c r="H11" s="352"/>
    </row>
    <row r="12" spans="1:8">
      <c r="A12" s="61">
        <v>1998</v>
      </c>
      <c r="B12" s="62">
        <v>5920</v>
      </c>
      <c r="C12" s="63">
        <f t="shared" si="1"/>
        <v>1.4868243243243244</v>
      </c>
      <c r="D12" s="253">
        <v>1998</v>
      </c>
      <c r="E12" s="253">
        <v>115</v>
      </c>
      <c r="F12" s="253">
        <f t="shared" si="0"/>
        <v>1.4</v>
      </c>
      <c r="G12" s="59" t="s">
        <v>167</v>
      </c>
      <c r="H12" s="64">
        <v>100000</v>
      </c>
    </row>
    <row r="13" spans="1:8">
      <c r="A13" s="61">
        <v>1999</v>
      </c>
      <c r="B13" s="62">
        <v>6059</v>
      </c>
      <c r="C13" s="63">
        <f t="shared" si="1"/>
        <v>1.4527149694669088</v>
      </c>
      <c r="D13" s="253">
        <v>1999</v>
      </c>
      <c r="E13" s="253">
        <v>114</v>
      </c>
      <c r="F13" s="253">
        <f t="shared" si="0"/>
        <v>1.4122807017543859</v>
      </c>
      <c r="G13" s="59" t="s">
        <v>168</v>
      </c>
      <c r="H13" s="65">
        <v>100000</v>
      </c>
    </row>
    <row r="14" spans="1:8">
      <c r="A14" s="61">
        <v>2000</v>
      </c>
      <c r="B14" s="62">
        <v>6221</v>
      </c>
      <c r="C14" s="63">
        <f t="shared" si="1"/>
        <v>1.4148850667095323</v>
      </c>
      <c r="D14" s="253">
        <v>2000</v>
      </c>
      <c r="E14" s="253">
        <v>118</v>
      </c>
      <c r="F14" s="253">
        <f t="shared" si="0"/>
        <v>1.3644067796610169</v>
      </c>
      <c r="G14" s="59" t="s">
        <v>170</v>
      </c>
      <c r="H14" s="65">
        <v>100000</v>
      </c>
    </row>
    <row r="15" spans="1:8">
      <c r="A15" s="61">
        <v>2001</v>
      </c>
      <c r="B15" s="62">
        <v>6343</v>
      </c>
      <c r="C15" s="63">
        <f t="shared" si="1"/>
        <v>1.3876714488412423</v>
      </c>
      <c r="D15" s="253">
        <v>2001</v>
      </c>
      <c r="E15" s="253">
        <v>120</v>
      </c>
      <c r="F15" s="253">
        <f t="shared" si="0"/>
        <v>1.3416666666666666</v>
      </c>
      <c r="G15" s="59" t="s">
        <v>169</v>
      </c>
      <c r="H15" s="65">
        <v>100000</v>
      </c>
    </row>
    <row r="16" spans="1:8">
      <c r="A16" s="61">
        <v>2002</v>
      </c>
      <c r="B16" s="62">
        <v>6538</v>
      </c>
      <c r="C16" s="63">
        <f t="shared" si="1"/>
        <v>1.3462832670541449</v>
      </c>
      <c r="D16" s="253">
        <v>2002</v>
      </c>
      <c r="E16" s="253">
        <v>120</v>
      </c>
      <c r="F16" s="253">
        <f t="shared" si="0"/>
        <v>1.3416666666666666</v>
      </c>
      <c r="G16" s="59" t="s">
        <v>171</v>
      </c>
      <c r="H16" s="65">
        <v>100000</v>
      </c>
    </row>
    <row r="17" spans="1:8">
      <c r="A17" s="61">
        <v>2003</v>
      </c>
      <c r="B17" s="62">
        <v>6694</v>
      </c>
      <c r="C17" s="63">
        <f t="shared" si="1"/>
        <v>1.3149088736181656</v>
      </c>
      <c r="D17" s="253">
        <v>2003</v>
      </c>
      <c r="E17" s="253">
        <v>125</v>
      </c>
      <c r="F17" s="253">
        <f t="shared" si="0"/>
        <v>1.288</v>
      </c>
      <c r="G17" s="59" t="s">
        <v>172</v>
      </c>
      <c r="H17" s="65">
        <v>100000</v>
      </c>
    </row>
    <row r="18" spans="1:8">
      <c r="A18" s="61">
        <v>2004</v>
      </c>
      <c r="B18" s="62">
        <v>7115</v>
      </c>
      <c r="C18" s="63">
        <f t="shared" si="1"/>
        <v>1.2371047083626141</v>
      </c>
      <c r="D18" s="253">
        <v>2004</v>
      </c>
      <c r="E18" s="253">
        <v>127</v>
      </c>
      <c r="F18" s="253">
        <f t="shared" si="0"/>
        <v>1.2677165354330708</v>
      </c>
      <c r="G18" s="59" t="s">
        <v>173</v>
      </c>
      <c r="H18" s="65">
        <v>100000</v>
      </c>
    </row>
    <row r="19" spans="1:8">
      <c r="A19" s="61">
        <v>2005</v>
      </c>
      <c r="B19" s="62">
        <v>7446</v>
      </c>
      <c r="C19" s="63">
        <f t="shared" si="1"/>
        <v>1.1821112006446415</v>
      </c>
      <c r="D19" s="253">
        <v>2005</v>
      </c>
      <c r="E19" s="253">
        <v>133</v>
      </c>
      <c r="F19" s="253">
        <f t="shared" si="0"/>
        <v>1.2105263157894737</v>
      </c>
      <c r="G19" s="59" t="s">
        <v>174</v>
      </c>
      <c r="H19" s="65">
        <v>100000</v>
      </c>
    </row>
    <row r="20" spans="1:8">
      <c r="A20" s="61">
        <v>2006</v>
      </c>
      <c r="B20" s="62">
        <v>7751</v>
      </c>
      <c r="C20" s="63">
        <f t="shared" si="1"/>
        <v>1.1355954070442524</v>
      </c>
      <c r="D20" s="253">
        <v>2006</v>
      </c>
      <c r="E20" s="253">
        <v>139</v>
      </c>
      <c r="F20" s="253">
        <f t="shared" si="0"/>
        <v>1.1582733812949639</v>
      </c>
      <c r="G20" s="66" t="s">
        <v>158</v>
      </c>
      <c r="H20" s="188">
        <v>0.5</v>
      </c>
    </row>
    <row r="21" spans="1:8">
      <c r="A21" s="61">
        <v>2007</v>
      </c>
      <c r="B21" s="62">
        <v>7966</v>
      </c>
      <c r="C21" s="63">
        <f t="shared" si="1"/>
        <v>1.1049460205874968</v>
      </c>
      <c r="D21" s="253">
        <v>2007</v>
      </c>
      <c r="E21" s="253">
        <v>146</v>
      </c>
      <c r="F21" s="253">
        <f t="shared" si="0"/>
        <v>1.1027397260273972</v>
      </c>
      <c r="G21" s="75"/>
      <c r="H21" s="78"/>
    </row>
    <row r="22" spans="1:8" ht="17.25">
      <c r="A22" s="61">
        <v>2008</v>
      </c>
      <c r="B22" s="62">
        <v>8310</v>
      </c>
      <c r="C22" s="63">
        <f t="shared" si="1"/>
        <v>1.0592057761732852</v>
      </c>
      <c r="D22" s="253">
        <v>2008</v>
      </c>
      <c r="E22" s="253">
        <v>146</v>
      </c>
      <c r="F22" s="253">
        <f t="shared" si="0"/>
        <v>1.1027397260273972</v>
      </c>
      <c r="G22" s="68" t="s">
        <v>314</v>
      </c>
      <c r="H22" s="189">
        <v>3630</v>
      </c>
    </row>
    <row r="23" spans="1:8">
      <c r="A23" s="67">
        <v>2009</v>
      </c>
      <c r="B23" s="68">
        <v>8570</v>
      </c>
      <c r="C23" s="63">
        <f t="shared" si="1"/>
        <v>1.027071178529755</v>
      </c>
      <c r="D23" s="253">
        <v>2009</v>
      </c>
      <c r="E23" s="253">
        <v>156</v>
      </c>
      <c r="F23" s="253">
        <f t="shared" si="0"/>
        <v>1.0320512820512822</v>
      </c>
      <c r="G23" s="347"/>
      <c r="H23" s="350"/>
    </row>
    <row r="24" spans="1:8">
      <c r="A24" s="67">
        <v>2010</v>
      </c>
      <c r="B24" s="68">
        <v>8802</v>
      </c>
      <c r="C24" s="63">
        <f t="shared" si="1"/>
        <v>1</v>
      </c>
      <c r="D24" s="253">
        <v>2010</v>
      </c>
      <c r="E24" s="253">
        <v>161</v>
      </c>
      <c r="F24" s="253">
        <f t="shared" si="0"/>
        <v>1</v>
      </c>
      <c r="G24" s="68" t="s">
        <v>111</v>
      </c>
      <c r="H24" s="188">
        <v>7.0000000000000007E-2</v>
      </c>
    </row>
    <row r="25" spans="1:8">
      <c r="A25" s="346"/>
      <c r="B25" s="347"/>
      <c r="C25" s="347"/>
      <c r="D25" s="347"/>
      <c r="E25" s="350"/>
    </row>
    <row r="26" spans="1:8">
      <c r="A26" s="67" t="s">
        <v>259</v>
      </c>
      <c r="B26" s="190">
        <v>0.05</v>
      </c>
      <c r="C26" s="347"/>
      <c r="D26" s="347"/>
      <c r="E26" s="350"/>
    </row>
    <row r="27" spans="1:8" ht="15" customHeight="1">
      <c r="A27" s="67" t="s">
        <v>260</v>
      </c>
      <c r="B27" s="190">
        <v>0.4</v>
      </c>
      <c r="C27" s="347"/>
      <c r="D27" s="347"/>
      <c r="E27" s="350"/>
    </row>
    <row r="28" spans="1:8" ht="15" customHeight="1">
      <c r="A28" s="67" t="s">
        <v>261</v>
      </c>
      <c r="B28" s="190">
        <f>MEDIAN(B26:B27)</f>
        <v>0.22500000000000003</v>
      </c>
      <c r="C28" s="347"/>
      <c r="D28" s="347"/>
      <c r="E28" s="350"/>
    </row>
    <row r="29" spans="1:8" ht="15" customHeight="1">
      <c r="A29" s="346"/>
      <c r="B29" s="347"/>
      <c r="C29" s="347"/>
      <c r="D29" s="347"/>
      <c r="E29" s="350"/>
    </row>
    <row r="30" spans="1:8" ht="15" customHeight="1">
      <c r="A30" s="67" t="s">
        <v>164</v>
      </c>
      <c r="B30" s="190">
        <v>0.05</v>
      </c>
      <c r="C30" s="347"/>
      <c r="D30" s="347"/>
      <c r="E30" s="350"/>
    </row>
    <row r="31" spans="1:8" ht="15" customHeight="1">
      <c r="A31" s="67" t="s">
        <v>163</v>
      </c>
      <c r="B31" s="190">
        <v>0.05</v>
      </c>
      <c r="C31" s="347"/>
      <c r="D31" s="347"/>
      <c r="E31" s="350"/>
    </row>
    <row r="32" spans="1:8" ht="15" customHeight="1">
      <c r="A32" s="67" t="s">
        <v>264</v>
      </c>
      <c r="B32" s="190">
        <v>0.05</v>
      </c>
      <c r="C32" s="347"/>
      <c r="D32" s="347"/>
      <c r="E32" s="350"/>
    </row>
    <row r="33" spans="1:7" ht="15" customHeight="1">
      <c r="A33" s="346"/>
      <c r="B33" s="347"/>
      <c r="C33" s="347"/>
      <c r="D33" s="347"/>
      <c r="E33" s="350"/>
    </row>
    <row r="34" spans="1:7" ht="15" customHeight="1">
      <c r="A34" s="346"/>
      <c r="B34" s="347"/>
      <c r="C34" s="347"/>
      <c r="D34" s="347"/>
      <c r="E34" s="350"/>
    </row>
    <row r="35" spans="1:7" s="70" customFormat="1" ht="15.75" customHeight="1" thickBot="1">
      <c r="A35" s="185" t="s">
        <v>282</v>
      </c>
      <c r="B35" s="186"/>
      <c r="C35" s="186"/>
      <c r="D35" s="187"/>
      <c r="E35" s="180"/>
      <c r="F35" s="183"/>
    </row>
    <row r="36" spans="1:7" s="70" customFormat="1" ht="15.75" thickBot="1">
      <c r="D36" s="184"/>
      <c r="E36" s="184"/>
    </row>
    <row r="37" spans="1:7">
      <c r="A37" s="355" t="s">
        <v>313</v>
      </c>
      <c r="B37" s="356"/>
      <c r="C37" s="356"/>
      <c r="D37" s="356"/>
      <c r="E37" s="356"/>
      <c r="F37" s="356"/>
      <c r="G37" s="357"/>
    </row>
    <row r="38" spans="1:7">
      <c r="A38" s="370"/>
      <c r="B38" s="371"/>
      <c r="C38" s="367"/>
      <c r="D38" s="177"/>
      <c r="E38" s="179"/>
      <c r="F38" s="179"/>
      <c r="G38" s="178"/>
    </row>
    <row r="39" spans="1:7">
      <c r="A39" s="71" t="s">
        <v>165</v>
      </c>
      <c r="B39" s="72" t="s">
        <v>166</v>
      </c>
      <c r="C39" s="368"/>
      <c r="D39" s="72" t="s">
        <v>39</v>
      </c>
      <c r="E39" s="72" t="s">
        <v>142</v>
      </c>
      <c r="F39" s="72" t="s">
        <v>204</v>
      </c>
      <c r="G39" s="73" t="s">
        <v>191</v>
      </c>
    </row>
    <row r="40" spans="1:7">
      <c r="A40" s="370"/>
      <c r="B40" s="371"/>
      <c r="C40" s="368"/>
      <c r="D40" s="68" t="s">
        <v>140</v>
      </c>
      <c r="E40" s="68" t="s">
        <v>162</v>
      </c>
      <c r="F40" s="68" t="s">
        <v>206</v>
      </c>
      <c r="G40" s="69">
        <v>4</v>
      </c>
    </row>
    <row r="41" spans="1:7">
      <c r="A41" s="67" t="s">
        <v>200</v>
      </c>
      <c r="B41" s="190">
        <v>7.1199999999999999E-2</v>
      </c>
      <c r="C41" s="368"/>
      <c r="D41" s="68" t="s">
        <v>141</v>
      </c>
      <c r="E41" s="68" t="s">
        <v>212</v>
      </c>
      <c r="F41" s="68" t="s">
        <v>212</v>
      </c>
      <c r="G41" s="69">
        <v>6</v>
      </c>
    </row>
    <row r="42" spans="1:7">
      <c r="A42" s="74" t="s">
        <v>163</v>
      </c>
      <c r="B42" s="191">
        <v>0.05</v>
      </c>
      <c r="C42" s="368"/>
      <c r="D42" s="68" t="s">
        <v>143</v>
      </c>
      <c r="E42" s="68" t="s">
        <v>209</v>
      </c>
      <c r="F42" s="68" t="s">
        <v>209</v>
      </c>
      <c r="G42" s="69">
        <v>1</v>
      </c>
    </row>
    <row r="43" spans="1:7">
      <c r="A43" s="74" t="s">
        <v>162</v>
      </c>
      <c r="B43" s="191">
        <v>0.02</v>
      </c>
      <c r="C43" s="368"/>
      <c r="D43" s="68" t="s">
        <v>144</v>
      </c>
      <c r="E43" s="68" t="s">
        <v>209</v>
      </c>
      <c r="F43" s="68" t="s">
        <v>209</v>
      </c>
      <c r="G43" s="69">
        <v>1</v>
      </c>
    </row>
    <row r="44" spans="1:7">
      <c r="A44" s="76" t="s">
        <v>210</v>
      </c>
      <c r="B44" s="191">
        <v>1.33333333333E-2</v>
      </c>
      <c r="C44" s="368"/>
      <c r="D44" s="68" t="s">
        <v>10</v>
      </c>
      <c r="E44" s="68" t="s">
        <v>201</v>
      </c>
      <c r="F44" s="68" t="s">
        <v>206</v>
      </c>
      <c r="G44" s="69">
        <v>6</v>
      </c>
    </row>
    <row r="45" spans="1:7">
      <c r="A45" s="76" t="s">
        <v>209</v>
      </c>
      <c r="B45" s="191">
        <v>5.0000000000000001E-3</v>
      </c>
      <c r="C45" s="368"/>
      <c r="D45" s="77" t="s">
        <v>137</v>
      </c>
      <c r="E45" s="77" t="s">
        <v>162</v>
      </c>
      <c r="F45" s="77" t="s">
        <v>206</v>
      </c>
      <c r="G45" s="69">
        <v>4</v>
      </c>
    </row>
    <row r="46" spans="1:7">
      <c r="A46" s="76" t="s">
        <v>211</v>
      </c>
      <c r="B46" s="191">
        <v>5.7000000000000002E-3</v>
      </c>
      <c r="C46" s="368"/>
      <c r="D46" s="68" t="s">
        <v>130</v>
      </c>
      <c r="E46" s="77" t="s">
        <v>163</v>
      </c>
      <c r="F46" s="77" t="s">
        <v>208</v>
      </c>
      <c r="G46" s="69">
        <v>2</v>
      </c>
    </row>
    <row r="47" spans="1:7">
      <c r="A47" s="76" t="s">
        <v>212</v>
      </c>
      <c r="B47" s="191">
        <v>8.6999999999999994E-3</v>
      </c>
      <c r="C47" s="368"/>
      <c r="D47" s="68" t="s">
        <v>145</v>
      </c>
      <c r="E47" s="77" t="s">
        <v>162</v>
      </c>
      <c r="F47" s="77" t="s">
        <v>207</v>
      </c>
      <c r="G47" s="78">
        <v>5</v>
      </c>
    </row>
    <row r="48" spans="1:7">
      <c r="A48" s="76" t="s">
        <v>164</v>
      </c>
      <c r="B48" s="191">
        <v>0.01</v>
      </c>
      <c r="C48" s="368"/>
      <c r="D48" s="68" t="s">
        <v>131</v>
      </c>
      <c r="E48" s="77" t="s">
        <v>162</v>
      </c>
      <c r="F48" s="77" t="s">
        <v>206</v>
      </c>
      <c r="G48" s="78">
        <v>4</v>
      </c>
    </row>
    <row r="49" spans="1:7">
      <c r="A49" s="74" t="s">
        <v>205</v>
      </c>
      <c r="B49" s="190">
        <v>0.02</v>
      </c>
      <c r="C49" s="368"/>
      <c r="D49" s="68" t="s">
        <v>132</v>
      </c>
      <c r="E49" s="77" t="s">
        <v>210</v>
      </c>
      <c r="F49" s="77" t="s">
        <v>210</v>
      </c>
      <c r="G49" s="78">
        <v>6</v>
      </c>
    </row>
    <row r="50" spans="1:7">
      <c r="A50" s="74" t="s">
        <v>202</v>
      </c>
      <c r="B50" s="190">
        <v>0.01</v>
      </c>
      <c r="C50" s="368"/>
      <c r="D50" s="68" t="s">
        <v>133</v>
      </c>
      <c r="E50" s="77" t="s">
        <v>164</v>
      </c>
      <c r="F50" s="77" t="s">
        <v>207</v>
      </c>
      <c r="G50" s="78">
        <v>5</v>
      </c>
    </row>
    <row r="51" spans="1:7">
      <c r="A51" s="74" t="s">
        <v>203</v>
      </c>
      <c r="B51" s="190">
        <v>0.05</v>
      </c>
      <c r="C51" s="368"/>
      <c r="D51" s="68" t="s">
        <v>134</v>
      </c>
      <c r="E51" s="77" t="s">
        <v>164</v>
      </c>
      <c r="F51" s="77" t="s">
        <v>207</v>
      </c>
      <c r="G51" s="78">
        <v>5</v>
      </c>
    </row>
    <row r="52" spans="1:7">
      <c r="A52" s="74" t="s">
        <v>192</v>
      </c>
      <c r="B52" s="190">
        <v>0.1</v>
      </c>
      <c r="C52" s="368"/>
      <c r="D52" s="68" t="s">
        <v>198</v>
      </c>
      <c r="E52" s="77" t="s">
        <v>162</v>
      </c>
      <c r="F52" s="77" t="s">
        <v>206</v>
      </c>
      <c r="G52" s="78">
        <v>3</v>
      </c>
    </row>
    <row r="53" spans="1:7">
      <c r="A53" s="74" t="s">
        <v>193</v>
      </c>
      <c r="B53" s="190">
        <v>0.2</v>
      </c>
      <c r="C53" s="368"/>
      <c r="D53" s="68" t="s">
        <v>199</v>
      </c>
      <c r="E53" s="77" t="s">
        <v>211</v>
      </c>
      <c r="F53" s="77" t="s">
        <v>211</v>
      </c>
      <c r="G53" s="78">
        <v>5</v>
      </c>
    </row>
    <row r="54" spans="1:7">
      <c r="A54" s="74" t="s">
        <v>194</v>
      </c>
      <c r="B54" s="190">
        <v>0.25</v>
      </c>
      <c r="C54" s="368"/>
      <c r="D54" s="68" t="s">
        <v>135</v>
      </c>
      <c r="E54" s="77" t="s">
        <v>162</v>
      </c>
      <c r="F54" s="77" t="s">
        <v>206</v>
      </c>
      <c r="G54" s="78">
        <v>5</v>
      </c>
    </row>
    <row r="55" spans="1:7">
      <c r="A55" s="74" t="s">
        <v>195</v>
      </c>
      <c r="B55" s="190">
        <v>0.3</v>
      </c>
      <c r="C55" s="368"/>
      <c r="D55" s="68" t="s">
        <v>136</v>
      </c>
      <c r="E55" s="77" t="s">
        <v>162</v>
      </c>
      <c r="F55" s="77" t="s">
        <v>206</v>
      </c>
      <c r="G55" s="78">
        <v>5</v>
      </c>
    </row>
    <row r="56" spans="1:7">
      <c r="A56" s="74" t="s">
        <v>196</v>
      </c>
      <c r="B56" s="190">
        <v>0.4</v>
      </c>
      <c r="C56" s="368"/>
      <c r="D56" s="68" t="s">
        <v>138</v>
      </c>
      <c r="E56" s="68" t="s">
        <v>164</v>
      </c>
      <c r="F56" s="68" t="s">
        <v>201</v>
      </c>
      <c r="G56" s="78">
        <v>1</v>
      </c>
    </row>
    <row r="57" spans="1:7">
      <c r="A57" s="74" t="s">
        <v>197</v>
      </c>
      <c r="B57" s="190">
        <v>0.5</v>
      </c>
      <c r="C57" s="369"/>
      <c r="D57" s="68" t="s">
        <v>129</v>
      </c>
      <c r="E57" s="68" t="s">
        <v>162</v>
      </c>
      <c r="F57" s="68" t="s">
        <v>206</v>
      </c>
      <c r="G57" s="69">
        <v>1</v>
      </c>
    </row>
    <row r="58" spans="1:7" ht="15" customHeight="1">
      <c r="A58" s="358"/>
      <c r="B58" s="359"/>
      <c r="C58" s="360"/>
      <c r="D58" s="68" t="s">
        <v>139</v>
      </c>
      <c r="E58" s="68" t="s">
        <v>162</v>
      </c>
      <c r="F58" s="68" t="s">
        <v>206</v>
      </c>
      <c r="G58" s="78">
        <v>1</v>
      </c>
    </row>
    <row r="59" spans="1:7" ht="15" customHeight="1">
      <c r="A59" s="361"/>
      <c r="B59" s="362"/>
      <c r="C59" s="363"/>
      <c r="D59" s="68" t="s">
        <v>0</v>
      </c>
      <c r="E59" s="68" t="s">
        <v>162</v>
      </c>
      <c r="F59" s="68" t="s">
        <v>206</v>
      </c>
      <c r="G59" s="78">
        <v>1</v>
      </c>
    </row>
    <row r="60" spans="1:7" ht="15" customHeight="1">
      <c r="A60" s="361"/>
      <c r="B60" s="362"/>
      <c r="C60" s="363"/>
      <c r="D60" s="68" t="s">
        <v>146</v>
      </c>
      <c r="E60" s="68" t="s">
        <v>162</v>
      </c>
      <c r="F60" s="68" t="s">
        <v>207</v>
      </c>
      <c r="G60" s="78">
        <v>2</v>
      </c>
    </row>
    <row r="61" spans="1:7" ht="15" customHeight="1">
      <c r="A61" s="361"/>
      <c r="B61" s="362"/>
      <c r="C61" s="363"/>
      <c r="D61" s="68" t="s">
        <v>3</v>
      </c>
      <c r="E61" s="68" t="s">
        <v>201</v>
      </c>
      <c r="F61" s="68" t="s">
        <v>201</v>
      </c>
      <c r="G61" s="78">
        <v>4</v>
      </c>
    </row>
    <row r="62" spans="1:7" ht="15.75" customHeight="1" thickBot="1">
      <c r="A62" s="364"/>
      <c r="B62" s="365"/>
      <c r="C62" s="366"/>
      <c r="D62" s="79" t="s">
        <v>12</v>
      </c>
      <c r="E62" s="79" t="s">
        <v>200</v>
      </c>
      <c r="F62" s="79" t="s">
        <v>201</v>
      </c>
      <c r="G62" s="80" t="s">
        <v>201</v>
      </c>
    </row>
  </sheetData>
  <mergeCells count="15">
    <mergeCell ref="A37:G37"/>
    <mergeCell ref="A58:C62"/>
    <mergeCell ref="C38:C57"/>
    <mergeCell ref="A38:B38"/>
    <mergeCell ref="A40:B40"/>
    <mergeCell ref="G23:H23"/>
    <mergeCell ref="G2:H2"/>
    <mergeCell ref="G11:H11"/>
    <mergeCell ref="A29:B29"/>
    <mergeCell ref="A1:H1"/>
    <mergeCell ref="A33:B34"/>
    <mergeCell ref="C25:C34"/>
    <mergeCell ref="A25:B25"/>
    <mergeCell ref="A2:C2"/>
    <mergeCell ref="D25:E34"/>
  </mergeCell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11"/>
  <dimension ref="A1:N55"/>
  <sheetViews>
    <sheetView topLeftCell="B1" zoomScale="85" zoomScaleNormal="85" workbookViewId="0">
      <selection activeCell="J16" sqref="J16"/>
    </sheetView>
  </sheetViews>
  <sheetFormatPr defaultColWidth="9.140625" defaultRowHeight="15"/>
  <cols>
    <col min="1" max="1" width="16.7109375" style="3" hidden="1" customWidth="1"/>
    <col min="2" max="2" width="56.5703125" style="3" customWidth="1"/>
    <col min="3" max="4" width="10.140625" style="3" bestFit="1" customWidth="1"/>
    <col min="5" max="5" width="11.140625" style="3" bestFit="1" customWidth="1"/>
    <col min="6" max="7" width="9.28515625" style="3" bestFit="1" customWidth="1"/>
    <col min="8" max="8" width="8.85546875" style="3" bestFit="1" customWidth="1"/>
    <col min="9" max="9" width="8.42578125" style="3" bestFit="1" customWidth="1"/>
    <col min="10" max="10" width="10" style="3" bestFit="1" customWidth="1"/>
    <col min="11" max="12" width="9.85546875" style="3" customWidth="1"/>
    <col min="13" max="13" width="9.85546875" style="3" bestFit="1" customWidth="1"/>
    <col min="14" max="16384" width="9.140625" style="3"/>
  </cols>
  <sheetData>
    <row r="1" spans="1:14" ht="69" customHeight="1" thickBot="1">
      <c r="B1" s="372" t="s">
        <v>110</v>
      </c>
      <c r="C1" s="373"/>
      <c r="D1" s="373"/>
      <c r="E1" s="373"/>
      <c r="F1" s="373"/>
      <c r="G1" s="373"/>
      <c r="H1" s="373"/>
      <c r="I1" s="373"/>
      <c r="J1" s="373"/>
      <c r="K1" s="373"/>
    </row>
    <row r="2" spans="1:14">
      <c r="B2" s="338" t="s">
        <v>315</v>
      </c>
      <c r="C2" s="336"/>
      <c r="D2" s="336"/>
      <c r="E2" s="336"/>
      <c r="F2" s="336"/>
      <c r="G2" s="336"/>
      <c r="H2" s="336"/>
      <c r="I2" s="336"/>
      <c r="J2" s="336"/>
      <c r="K2" s="337"/>
    </row>
    <row r="3" spans="1:14">
      <c r="B3" s="4" t="s">
        <v>405</v>
      </c>
      <c r="C3" s="5">
        <v>20</v>
      </c>
      <c r="D3" s="374"/>
      <c r="E3" s="374"/>
      <c r="F3" s="374"/>
      <c r="G3" s="374"/>
      <c r="H3" s="374"/>
      <c r="I3" s="374"/>
      <c r="J3" s="374"/>
      <c r="K3" s="375"/>
    </row>
    <row r="4" spans="1:14">
      <c r="B4" s="4" t="s">
        <v>254</v>
      </c>
      <c r="C4" s="6" t="s">
        <v>255</v>
      </c>
      <c r="D4" s="374"/>
      <c r="E4" s="374"/>
      <c r="F4" s="374"/>
      <c r="G4" s="374"/>
      <c r="H4" s="374"/>
      <c r="I4" s="374"/>
      <c r="J4" s="374"/>
      <c r="K4" s="375"/>
    </row>
    <row r="5" spans="1:14">
      <c r="B5" s="383"/>
      <c r="C5" s="376" t="s">
        <v>175</v>
      </c>
      <c r="D5" s="376"/>
      <c r="E5" s="376"/>
      <c r="F5" s="376" t="s">
        <v>176</v>
      </c>
      <c r="G5" s="376"/>
      <c r="H5" s="376"/>
      <c r="I5" s="328" t="s">
        <v>335</v>
      </c>
      <c r="J5" s="328"/>
      <c r="K5" s="386"/>
    </row>
    <row r="6" spans="1:14">
      <c r="B6" s="383"/>
      <c r="C6" s="202" t="s">
        <v>252</v>
      </c>
      <c r="D6" s="202" t="s">
        <v>18</v>
      </c>
      <c r="E6" s="202" t="s">
        <v>253</v>
      </c>
      <c r="F6" s="202" t="s">
        <v>252</v>
      </c>
      <c r="G6" s="202" t="s">
        <v>18</v>
      </c>
      <c r="H6" s="202" t="s">
        <v>253</v>
      </c>
      <c r="I6" s="202" t="s">
        <v>252</v>
      </c>
      <c r="J6" s="202" t="s">
        <v>18</v>
      </c>
      <c r="K6" s="203" t="s">
        <v>253</v>
      </c>
    </row>
    <row r="7" spans="1:14">
      <c r="B7" s="7" t="s">
        <v>257</v>
      </c>
      <c r="C7" s="6">
        <v>2200</v>
      </c>
      <c r="D7" s="6">
        <v>3800</v>
      </c>
      <c r="E7" s="6">
        <v>7500</v>
      </c>
      <c r="F7" s="6">
        <v>9000</v>
      </c>
      <c r="G7" s="6">
        <v>19400</v>
      </c>
      <c r="H7" s="6">
        <v>32200</v>
      </c>
      <c r="I7" s="6">
        <f t="shared" ref="I7:K8" si="0">AVERAGE(C7,F7)</f>
        <v>5600</v>
      </c>
      <c r="J7" s="6">
        <f t="shared" si="0"/>
        <v>11600</v>
      </c>
      <c r="K7" s="8">
        <f t="shared" si="0"/>
        <v>19850</v>
      </c>
    </row>
    <row r="8" spans="1:14">
      <c r="B8" s="7" t="s">
        <v>258</v>
      </c>
      <c r="C8" s="6">
        <f>C7*CCI_2006</f>
        <v>2498.3098954973552</v>
      </c>
      <c r="D8" s="6">
        <f t="shared" ref="D8:H8" si="1">D7*CCI_2006</f>
        <v>4315.2625467681592</v>
      </c>
      <c r="E8" s="6">
        <f t="shared" si="1"/>
        <v>8516.9655528318926</v>
      </c>
      <c r="F8" s="6">
        <f t="shared" si="1"/>
        <v>10220.358663398272</v>
      </c>
      <c r="G8" s="6">
        <f t="shared" si="1"/>
        <v>22030.550896658497</v>
      </c>
      <c r="H8" s="6">
        <f t="shared" si="1"/>
        <v>36566.172106824932</v>
      </c>
      <c r="I8" s="6">
        <f t="shared" si="0"/>
        <v>6359.334279447814</v>
      </c>
      <c r="J8" s="6">
        <f t="shared" si="0"/>
        <v>13172.906721713327</v>
      </c>
      <c r="K8" s="8">
        <f t="shared" si="0"/>
        <v>22541.568829828411</v>
      </c>
    </row>
    <row r="9" spans="1:14">
      <c r="B9" s="7" t="s">
        <v>262</v>
      </c>
      <c r="C9" s="6">
        <f>C8*LOW_DE</f>
        <v>124.91549477486777</v>
      </c>
      <c r="D9" s="6">
        <f>D8*MID_DE</f>
        <v>970.93407302283595</v>
      </c>
      <c r="E9" s="6">
        <f>E8*HIGH_DE</f>
        <v>3406.7862211327574</v>
      </c>
      <c r="F9" s="6">
        <f>F8*LOW_DE</f>
        <v>511.01793316991365</v>
      </c>
      <c r="G9" s="6">
        <f>G8*MID_DE</f>
        <v>4956.8739517481627</v>
      </c>
      <c r="H9" s="6">
        <f>H8*HIGH_DE</f>
        <v>14626.468842729973</v>
      </c>
      <c r="I9" s="6">
        <f>I8*LOW_DE</f>
        <v>317.96671397239072</v>
      </c>
      <c r="J9" s="6">
        <f>J8*MID_DE</f>
        <v>2963.9040123854988</v>
      </c>
      <c r="K9" s="8">
        <f>K8*HIGH_DE</f>
        <v>9016.6275319313645</v>
      </c>
    </row>
    <row r="10" spans="1:14">
      <c r="B10" s="7" t="s">
        <v>296</v>
      </c>
      <c r="C10" s="45">
        <v>0.1</v>
      </c>
      <c r="D10" s="45">
        <v>0.1</v>
      </c>
      <c r="E10" s="45">
        <v>0.1</v>
      </c>
      <c r="F10" s="45">
        <v>0.1</v>
      </c>
      <c r="G10" s="45">
        <v>0.1</v>
      </c>
      <c r="H10" s="45">
        <v>0.1</v>
      </c>
      <c r="I10" s="45">
        <v>0.1</v>
      </c>
      <c r="J10" s="45">
        <v>0.1</v>
      </c>
      <c r="K10" s="46">
        <v>0.1</v>
      </c>
    </row>
    <row r="11" spans="1:14">
      <c r="B11" s="7" t="s">
        <v>292</v>
      </c>
      <c r="C11" s="6">
        <f>C8*LOW_OM</f>
        <v>124.91549477486777</v>
      </c>
      <c r="D11" s="6">
        <f>D8*MED_OM</f>
        <v>215.76312733840797</v>
      </c>
      <c r="E11" s="6">
        <f>E8*HIGH_OM</f>
        <v>425.84827764159468</v>
      </c>
      <c r="F11" s="6">
        <f>F8*LOW_OM</f>
        <v>511.01793316991365</v>
      </c>
      <c r="G11" s="6">
        <f>G8*MED_OM</f>
        <v>1101.5275448329248</v>
      </c>
      <c r="H11" s="6">
        <f>H8*HIGH_OM</f>
        <v>1828.3086053412467</v>
      </c>
      <c r="I11" s="6">
        <f>I8*LOW_OM</f>
        <v>317.96671397239072</v>
      </c>
      <c r="J11" s="6">
        <f>J8*MED_OM</f>
        <v>658.64533608566637</v>
      </c>
      <c r="K11" s="8">
        <f>K8*HIGH_OM</f>
        <v>1127.0784414914206</v>
      </c>
      <c r="M11" s="43"/>
    </row>
    <row r="12" spans="1:14">
      <c r="B12" s="383"/>
      <c r="C12" s="384"/>
      <c r="D12" s="384"/>
      <c r="E12" s="384"/>
      <c r="F12" s="384"/>
      <c r="G12" s="384"/>
      <c r="H12" s="384"/>
      <c r="I12" s="384"/>
      <c r="J12" s="384"/>
      <c r="K12" s="385"/>
    </row>
    <row r="13" spans="1:14">
      <c r="B13" s="4" t="s">
        <v>241</v>
      </c>
      <c r="C13" s="201" t="s">
        <v>207</v>
      </c>
      <c r="D13" s="201" t="s">
        <v>18</v>
      </c>
      <c r="E13" s="201" t="s">
        <v>208</v>
      </c>
      <c r="F13" s="35"/>
      <c r="G13" s="36"/>
      <c r="H13" s="36"/>
      <c r="I13" s="36"/>
      <c r="J13" s="36"/>
      <c r="K13" s="37"/>
    </row>
    <row r="14" spans="1:14">
      <c r="A14" s="9" t="s">
        <v>57</v>
      </c>
      <c r="B14" s="7" t="s">
        <v>57</v>
      </c>
      <c r="C14" s="10">
        <f t="shared" ref="C14:E21" ca="1" si="2">(-PMT(Annual_rate,$C$3,I$8+I$9)+INDIRECT(CONCATENATE("land_cost_",$A14))*Project_Acres_Developable*Annual_rate*I$10+I$11)*INDIRECT(CONCATENATE($A14,"_IMPERVIOUS"))</f>
        <v>336.12589464850993</v>
      </c>
      <c r="D14" s="10">
        <f t="shared" ca="1" si="2"/>
        <v>655.50907306508236</v>
      </c>
      <c r="E14" s="10">
        <f t="shared" ca="1" si="2"/>
        <v>1153.6700178672686</v>
      </c>
      <c r="F14" s="278" t="str">
        <f t="shared" ref="F14:H21" ca="1" si="3">IF((-PMT(Annual_rate,$C$3,C24)+Annual_rate*C34+C44)=C14,"","Check")</f>
        <v/>
      </c>
      <c r="G14" s="279" t="str">
        <f t="shared" ca="1" si="3"/>
        <v/>
      </c>
      <c r="H14" s="279" t="str">
        <f t="shared" ca="1" si="3"/>
        <v/>
      </c>
      <c r="I14" s="12"/>
      <c r="J14" s="12"/>
      <c r="K14" s="39"/>
      <c r="L14" s="44"/>
      <c r="M14" s="44"/>
      <c r="N14" s="44"/>
    </row>
    <row r="15" spans="1:14">
      <c r="A15" s="9" t="s">
        <v>266</v>
      </c>
      <c r="B15" s="9" t="s">
        <v>266</v>
      </c>
      <c r="C15" s="10">
        <f t="shared" ca="1" si="2"/>
        <v>665.83196839240702</v>
      </c>
      <c r="D15" s="10">
        <f t="shared" ca="1" si="2"/>
        <v>1298.4982810515544</v>
      </c>
      <c r="E15" s="10">
        <f t="shared" ca="1" si="2"/>
        <v>2285.3055688408926</v>
      </c>
      <c r="F15" s="278" t="str">
        <f t="shared" ca="1" si="3"/>
        <v/>
      </c>
      <c r="G15" s="279" t="str">
        <f t="shared" ca="1" si="3"/>
        <v/>
      </c>
      <c r="H15" s="279" t="str">
        <f t="shared" ca="1" si="3"/>
        <v/>
      </c>
      <c r="I15" s="12"/>
      <c r="J15" s="12"/>
      <c r="K15" s="39"/>
      <c r="L15" s="44"/>
      <c r="M15" s="44"/>
      <c r="N15" s="44"/>
    </row>
    <row r="16" spans="1:14">
      <c r="A16" s="9" t="s">
        <v>267</v>
      </c>
      <c r="B16" s="9" t="s">
        <v>267</v>
      </c>
      <c r="C16" s="10">
        <f t="shared" ca="1" si="2"/>
        <v>315.82451553856362</v>
      </c>
      <c r="D16" s="10">
        <f t="shared" ca="1" si="2"/>
        <v>615.91754377746304</v>
      </c>
      <c r="E16" s="10">
        <f t="shared" ca="1" si="2"/>
        <v>1083.9904936967384</v>
      </c>
      <c r="F16" s="278" t="str">
        <f t="shared" ca="1" si="3"/>
        <v/>
      </c>
      <c r="G16" s="279" t="str">
        <f t="shared" ca="1" si="3"/>
        <v/>
      </c>
      <c r="H16" s="279" t="str">
        <f t="shared" ca="1" si="3"/>
        <v/>
      </c>
      <c r="I16" s="12"/>
      <c r="J16" s="12"/>
      <c r="K16" s="39"/>
      <c r="L16" s="44"/>
      <c r="M16" s="44"/>
      <c r="N16" s="44"/>
    </row>
    <row r="17" spans="1:14">
      <c r="A17" s="9" t="s">
        <v>268</v>
      </c>
      <c r="B17" s="9" t="s">
        <v>268</v>
      </c>
      <c r="C17" s="10">
        <f t="shared" ca="1" si="2"/>
        <v>329.02974860283007</v>
      </c>
      <c r="D17" s="10">
        <f t="shared" ca="1" si="2"/>
        <v>641.67024603391212</v>
      </c>
      <c r="E17" s="10">
        <f t="shared" ca="1" si="2"/>
        <v>1129.3142301530579</v>
      </c>
      <c r="F17" s="278" t="str">
        <f t="shared" ca="1" si="3"/>
        <v/>
      </c>
      <c r="G17" s="279" t="str">
        <f t="shared" ca="1" si="3"/>
        <v/>
      </c>
      <c r="H17" s="279" t="str">
        <f t="shared" ca="1" si="3"/>
        <v/>
      </c>
      <c r="I17" s="12"/>
      <c r="J17" s="12"/>
      <c r="K17" s="39"/>
      <c r="L17" s="44"/>
      <c r="M17" s="44"/>
      <c r="N17" s="44"/>
    </row>
    <row r="18" spans="1:14">
      <c r="A18" s="9" t="s">
        <v>269</v>
      </c>
      <c r="B18" s="9" t="s">
        <v>269</v>
      </c>
      <c r="C18" s="10">
        <f t="shared" ca="1" si="2"/>
        <v>350.77208842707148</v>
      </c>
      <c r="D18" s="10">
        <f t="shared" ca="1" si="2"/>
        <v>684.07192127335861</v>
      </c>
      <c r="E18" s="10">
        <f t="shared" ca="1" si="2"/>
        <v>1203.939499948885</v>
      </c>
      <c r="F18" s="278" t="str">
        <f t="shared" ca="1" si="3"/>
        <v>Check</v>
      </c>
      <c r="G18" s="279" t="str">
        <f t="shared" ca="1" si="3"/>
        <v/>
      </c>
      <c r="H18" s="279" t="str">
        <f t="shared" ca="1" si="3"/>
        <v/>
      </c>
      <c r="I18" s="12"/>
      <c r="J18" s="12"/>
      <c r="K18" s="39"/>
      <c r="L18" s="44"/>
      <c r="M18" s="44"/>
      <c r="N18" s="44"/>
    </row>
    <row r="19" spans="1:14">
      <c r="A19" s="9" t="s">
        <v>270</v>
      </c>
      <c r="B19" s="9" t="s">
        <v>270</v>
      </c>
      <c r="C19" s="10">
        <f t="shared" ca="1" si="2"/>
        <v>329.56812323843775</v>
      </c>
      <c r="D19" s="10">
        <f t="shared" ca="1" si="2"/>
        <v>642.72017840736999</v>
      </c>
      <c r="E19" s="10">
        <f t="shared" ca="1" si="2"/>
        <v>1131.1620695649256</v>
      </c>
      <c r="F19" s="278" t="str">
        <f t="shared" ca="1" si="3"/>
        <v/>
      </c>
      <c r="G19" s="279" t="str">
        <f t="shared" ca="1" si="3"/>
        <v/>
      </c>
      <c r="H19" s="279" t="str">
        <f t="shared" ca="1" si="3"/>
        <v/>
      </c>
      <c r="I19" s="12"/>
      <c r="J19" s="12"/>
      <c r="K19" s="39"/>
      <c r="L19" s="44"/>
      <c r="M19" s="44"/>
      <c r="N19" s="44"/>
    </row>
    <row r="20" spans="1:14">
      <c r="A20" s="9" t="s">
        <v>271</v>
      </c>
      <c r="B20" s="9" t="s">
        <v>271</v>
      </c>
      <c r="C20" s="10">
        <f t="shared" ca="1" si="2"/>
        <v>339.78266337588229</v>
      </c>
      <c r="D20" s="10">
        <f t="shared" ca="1" si="2"/>
        <v>662.64046376439126</v>
      </c>
      <c r="E20" s="10">
        <f t="shared" ca="1" si="2"/>
        <v>1166.2209831758346</v>
      </c>
      <c r="F20" s="278" t="str">
        <f t="shared" ca="1" si="3"/>
        <v/>
      </c>
      <c r="G20" s="279" t="str">
        <f t="shared" ca="1" si="3"/>
        <v/>
      </c>
      <c r="H20" s="279" t="str">
        <f t="shared" ca="1" si="3"/>
        <v/>
      </c>
      <c r="I20" s="12"/>
      <c r="J20" s="12"/>
      <c r="K20" s="39"/>
      <c r="L20" s="44"/>
      <c r="M20" s="44"/>
      <c r="N20" s="44"/>
    </row>
    <row r="21" spans="1:14">
      <c r="A21" s="9" t="s">
        <v>272</v>
      </c>
      <c r="B21" s="9" t="s">
        <v>272</v>
      </c>
      <c r="C21" s="10">
        <f t="shared" ca="1" si="2"/>
        <v>328.1957274346052</v>
      </c>
      <c r="D21" s="10">
        <f t="shared" ca="1" si="2"/>
        <v>640.04374700005633</v>
      </c>
      <c r="E21" s="10">
        <f t="shared" ca="1" si="2"/>
        <v>1126.4516562443926</v>
      </c>
      <c r="F21" s="278" t="str">
        <f t="shared" ca="1" si="3"/>
        <v/>
      </c>
      <c r="G21" s="280" t="str">
        <f t="shared" ca="1" si="3"/>
        <v/>
      </c>
      <c r="H21" s="280" t="str">
        <f t="shared" ca="1" si="3"/>
        <v/>
      </c>
      <c r="I21" s="41"/>
      <c r="J21" s="41"/>
      <c r="K21" s="42"/>
      <c r="L21" s="44"/>
      <c r="M21" s="44"/>
      <c r="N21" s="44"/>
    </row>
    <row r="22" spans="1:14">
      <c r="A22" s="12"/>
      <c r="B22" s="390"/>
      <c r="C22" s="391"/>
      <c r="D22" s="391"/>
      <c r="E22" s="391"/>
      <c r="F22" s="391"/>
      <c r="G22" s="392"/>
      <c r="H22" s="392"/>
      <c r="I22" s="391"/>
      <c r="J22" s="391"/>
      <c r="K22" s="393"/>
    </row>
    <row r="23" spans="1:14">
      <c r="B23" s="4" t="s">
        <v>288</v>
      </c>
      <c r="C23" s="204" t="s">
        <v>207</v>
      </c>
      <c r="D23" s="204" t="s">
        <v>18</v>
      </c>
      <c r="E23" s="204" t="s">
        <v>208</v>
      </c>
      <c r="F23" s="35"/>
      <c r="G23" s="36"/>
      <c r="H23" s="36"/>
      <c r="I23" s="36"/>
      <c r="J23" s="36"/>
      <c r="K23" s="37"/>
    </row>
    <row r="24" spans="1:14">
      <c r="A24" s="9" t="s">
        <v>57</v>
      </c>
      <c r="B24" s="7" t="s">
        <v>57</v>
      </c>
      <c r="C24" s="10">
        <f ca="1">(I$8+I$9)*INDIRECT(CONCATENATE($A24,"_IMPERVIOUS"))</f>
        <v>1728.790451178802</v>
      </c>
      <c r="D24" s="10">
        <f ca="1">(J$8+J$9)*INDIRECT(CONCATENATE($A24,"_IMPERVIOUS"))</f>
        <v>4177.9102570154382</v>
      </c>
      <c r="E24" s="10">
        <f ca="1">(K$8+K$9)*INDIRECT(CONCATENATE($A24,"_IMPERVIOUS"))</f>
        <v>8170.5929656902899</v>
      </c>
      <c r="F24" s="38"/>
      <c r="G24" s="12"/>
      <c r="H24" s="12"/>
      <c r="I24" s="12"/>
      <c r="J24" s="12"/>
      <c r="K24" s="39"/>
    </row>
    <row r="25" spans="1:14">
      <c r="A25" s="9" t="s">
        <v>266</v>
      </c>
      <c r="B25" s="9" t="s">
        <v>266</v>
      </c>
      <c r="C25" s="10">
        <f t="shared" ref="C25:C31" ca="1" si="4">(I$8+I$9)*INDIRECT(CONCATENATE($A25,"_IMPERVIOUS"))</f>
        <v>3424.5619494745524</v>
      </c>
      <c r="D25" s="10">
        <f t="shared" ref="D25:D31" ca="1" si="5">(J$8+J$9)*INDIRECT(CONCATENATE($A25,"_IMPERVIOUS"))</f>
        <v>8276.0247112301677</v>
      </c>
      <c r="E25" s="10">
        <f t="shared" ref="E25:E31" ca="1" si="6">(K$8+K$9)*INDIRECT(CONCATENATE($A25,"_IMPERVIOUS"))</f>
        <v>16185.132070730921</v>
      </c>
      <c r="F25" s="38"/>
      <c r="G25" s="12"/>
      <c r="H25" s="12"/>
      <c r="I25" s="12"/>
      <c r="J25" s="12"/>
      <c r="K25" s="39"/>
    </row>
    <row r="26" spans="1:14">
      <c r="A26" s="9" t="s">
        <v>267</v>
      </c>
      <c r="B26" s="9" t="s">
        <v>267</v>
      </c>
      <c r="C26" s="10">
        <f t="shared" ca="1" si="4"/>
        <v>1624.3747221028345</v>
      </c>
      <c r="D26" s="10">
        <f t="shared" ca="1" si="5"/>
        <v>3925.5722450818498</v>
      </c>
      <c r="E26" s="10">
        <f t="shared" ca="1" si="6"/>
        <v>7677.1043413669686</v>
      </c>
      <c r="F26" s="38"/>
      <c r="G26" s="12"/>
      <c r="H26" s="12"/>
      <c r="I26" s="12"/>
      <c r="J26" s="12"/>
      <c r="K26" s="39"/>
    </row>
    <row r="27" spans="1:14">
      <c r="A27" s="9" t="s">
        <v>268</v>
      </c>
      <c r="B27" s="9" t="s">
        <v>268</v>
      </c>
      <c r="C27" s="10">
        <f t="shared" ca="1" si="4"/>
        <v>1692.2929669942821</v>
      </c>
      <c r="D27" s="10">
        <f t="shared" ca="1" si="5"/>
        <v>4089.7080035695149</v>
      </c>
      <c r="E27" s="10">
        <f t="shared" ca="1" si="6"/>
        <v>7998.0989035325001</v>
      </c>
      <c r="F27" s="38"/>
      <c r="G27" s="12"/>
      <c r="H27" s="12"/>
      <c r="I27" s="12"/>
      <c r="J27" s="12"/>
      <c r="K27" s="39"/>
    </row>
    <row r="28" spans="1:14">
      <c r="A28" s="9" t="s">
        <v>269</v>
      </c>
      <c r="B28" s="9" t="s">
        <v>269</v>
      </c>
      <c r="C28" s="10">
        <f t="shared" ca="1" si="4"/>
        <v>1804.1199641785938</v>
      </c>
      <c r="D28" s="10">
        <f t="shared" ca="1" si="5"/>
        <v>4359.9565800982682</v>
      </c>
      <c r="E28" s="10">
        <f t="shared" ca="1" si="6"/>
        <v>8526.6145926059726</v>
      </c>
      <c r="F28" s="38"/>
      <c r="G28" s="12"/>
      <c r="H28" s="12"/>
      <c r="I28" s="12"/>
      <c r="J28" s="12"/>
      <c r="K28" s="39"/>
    </row>
    <row r="29" spans="1:14">
      <c r="A29" s="9" t="s">
        <v>270</v>
      </c>
      <c r="B29" s="9" t="s">
        <v>270</v>
      </c>
      <c r="C29" s="10">
        <f t="shared" ca="1" si="4"/>
        <v>1695.0619798671783</v>
      </c>
      <c r="D29" s="10">
        <f t="shared" ca="1" si="5"/>
        <v>4096.3997846790135</v>
      </c>
      <c r="E29" s="10">
        <f t="shared" ca="1" si="6"/>
        <v>8011.1857858008307</v>
      </c>
      <c r="F29" s="38"/>
      <c r="G29" s="12"/>
      <c r="H29" s="12"/>
      <c r="I29" s="12"/>
      <c r="J29" s="12"/>
      <c r="K29" s="39"/>
    </row>
    <row r="30" spans="1:14">
      <c r="A30" s="9" t="s">
        <v>271</v>
      </c>
      <c r="B30" s="9" t="s">
        <v>271</v>
      </c>
      <c r="C30" s="10">
        <f t="shared" ca="1" si="4"/>
        <v>1747.5982459922941</v>
      </c>
      <c r="D30" s="10">
        <f t="shared" ca="1" si="5"/>
        <v>4223.3624278147099</v>
      </c>
      <c r="E30" s="10">
        <f t="shared" ca="1" si="6"/>
        <v>8259.4821864159603</v>
      </c>
      <c r="F30" s="38"/>
      <c r="G30" s="12"/>
      <c r="H30" s="12"/>
      <c r="I30" s="12"/>
      <c r="J30" s="12"/>
      <c r="K30" s="39"/>
    </row>
    <row r="31" spans="1:14">
      <c r="A31" s="9" t="s">
        <v>272</v>
      </c>
      <c r="B31" s="9" t="s">
        <v>272</v>
      </c>
      <c r="C31" s="10">
        <f t="shared" ca="1" si="4"/>
        <v>1688.0033604668949</v>
      </c>
      <c r="D31" s="10">
        <f t="shared" ca="1" si="5"/>
        <v>4079.3414544616626</v>
      </c>
      <c r="E31" s="10">
        <f t="shared" ca="1" si="6"/>
        <v>7977.8254060161589</v>
      </c>
      <c r="F31" s="40"/>
      <c r="G31" s="41"/>
      <c r="H31" s="41"/>
      <c r="I31" s="41"/>
      <c r="J31" s="41"/>
      <c r="K31" s="42"/>
    </row>
    <row r="32" spans="1:14">
      <c r="A32" s="12"/>
      <c r="B32" s="390"/>
      <c r="C32" s="391"/>
      <c r="D32" s="391"/>
      <c r="E32" s="391"/>
      <c r="F32" s="391"/>
      <c r="G32" s="391"/>
      <c r="H32" s="391"/>
      <c r="I32" s="391"/>
      <c r="J32" s="391"/>
      <c r="K32" s="393"/>
    </row>
    <row r="33" spans="1:11">
      <c r="B33" s="4" t="s">
        <v>475</v>
      </c>
      <c r="C33" s="262" t="s">
        <v>207</v>
      </c>
      <c r="D33" s="262" t="s">
        <v>18</v>
      </c>
      <c r="E33" s="262" t="s">
        <v>208</v>
      </c>
      <c r="F33" s="35"/>
      <c r="G33" s="36"/>
      <c r="H33" s="36"/>
      <c r="I33" s="36"/>
      <c r="J33" s="36"/>
      <c r="K33" s="37"/>
    </row>
    <row r="34" spans="1:11">
      <c r="A34" s="9" t="s">
        <v>57</v>
      </c>
      <c r="B34" s="7" t="s">
        <v>57</v>
      </c>
      <c r="C34" s="10">
        <f t="shared" ref="C34:E41" ca="1" si="7">(INDIRECT(CONCATENATE("LAND_COST_",$A24))*Project_Acres_Developable*I$10)*INDIRECT(CONCATENATE($A24,"_IMPERVIOUS"))</f>
        <v>1294.5278735243085</v>
      </c>
      <c r="D34" s="10">
        <f t="shared" ca="1" si="7"/>
        <v>1294.5278735243085</v>
      </c>
      <c r="E34" s="10">
        <f t="shared" ca="1" si="7"/>
        <v>1294.5278735243085</v>
      </c>
      <c r="F34" s="38"/>
      <c r="G34" s="12"/>
      <c r="H34" s="12"/>
      <c r="I34" s="12"/>
      <c r="J34" s="12"/>
      <c r="K34" s="39"/>
    </row>
    <row r="35" spans="1:11">
      <c r="A35" s="9" t="s">
        <v>266</v>
      </c>
      <c r="B35" s="9" t="s">
        <v>266</v>
      </c>
      <c r="C35" s="10">
        <f t="shared" ca="1" si="7"/>
        <v>2564.3309720867064</v>
      </c>
      <c r="D35" s="10">
        <f t="shared" ca="1" si="7"/>
        <v>2564.3309720867064</v>
      </c>
      <c r="E35" s="10">
        <f t="shared" ca="1" si="7"/>
        <v>2564.3309720867064</v>
      </c>
      <c r="F35" s="38"/>
      <c r="G35" s="12"/>
      <c r="H35" s="12"/>
      <c r="I35" s="12"/>
      <c r="J35" s="12"/>
      <c r="K35" s="39"/>
    </row>
    <row r="36" spans="1:11">
      <c r="A36" s="9" t="s">
        <v>267</v>
      </c>
      <c r="B36" s="9" t="s">
        <v>267</v>
      </c>
      <c r="C36" s="10">
        <f t="shared" ca="1" si="7"/>
        <v>1216.3407967556723</v>
      </c>
      <c r="D36" s="10">
        <f t="shared" ca="1" si="7"/>
        <v>1216.3407967556723</v>
      </c>
      <c r="E36" s="10">
        <f t="shared" ca="1" si="7"/>
        <v>1216.3407967556723</v>
      </c>
      <c r="F36" s="38"/>
      <c r="G36" s="12"/>
      <c r="H36" s="12"/>
      <c r="I36" s="12"/>
      <c r="J36" s="12"/>
      <c r="K36" s="39"/>
    </row>
    <row r="37" spans="1:11">
      <c r="A37" s="9" t="s">
        <v>268</v>
      </c>
      <c r="B37" s="9" t="s">
        <v>268</v>
      </c>
      <c r="C37" s="10">
        <f t="shared" ca="1" si="7"/>
        <v>1267.1983550403547</v>
      </c>
      <c r="D37" s="10">
        <f t="shared" ca="1" si="7"/>
        <v>1267.1983550403547</v>
      </c>
      <c r="E37" s="10">
        <f t="shared" ca="1" si="7"/>
        <v>1267.1983550403547</v>
      </c>
      <c r="F37" s="38"/>
      <c r="G37" s="12"/>
      <c r="H37" s="12"/>
      <c r="I37" s="12"/>
      <c r="J37" s="12"/>
      <c r="K37" s="39"/>
    </row>
    <row r="38" spans="1:11">
      <c r="A38" s="9" t="s">
        <v>269</v>
      </c>
      <c r="B38" s="9" t="s">
        <v>269</v>
      </c>
      <c r="C38" s="10">
        <f t="shared" ca="1" si="7"/>
        <v>1350.9350304534489</v>
      </c>
      <c r="D38" s="10">
        <f t="shared" ca="1" si="7"/>
        <v>1350.9350304534489</v>
      </c>
      <c r="E38" s="10">
        <f t="shared" ca="1" si="7"/>
        <v>1350.9350304534489</v>
      </c>
      <c r="F38" s="38"/>
      <c r="G38" s="12"/>
      <c r="H38" s="12"/>
      <c r="I38" s="12"/>
      <c r="J38" s="12"/>
      <c r="K38" s="39"/>
    </row>
    <row r="39" spans="1:11">
      <c r="A39" s="9" t="s">
        <v>270</v>
      </c>
      <c r="B39" s="9" t="s">
        <v>270</v>
      </c>
      <c r="C39" s="10">
        <f t="shared" ca="1" si="7"/>
        <v>1269.2718072298135</v>
      </c>
      <c r="D39" s="10">
        <f t="shared" ca="1" si="7"/>
        <v>1269.2718072298135</v>
      </c>
      <c r="E39" s="10">
        <f t="shared" ca="1" si="7"/>
        <v>1269.2718072298135</v>
      </c>
      <c r="F39" s="38"/>
      <c r="G39" s="12"/>
      <c r="H39" s="12"/>
      <c r="I39" s="12"/>
      <c r="J39" s="12"/>
      <c r="K39" s="39"/>
    </row>
    <row r="40" spans="1:11">
      <c r="A40" s="9" t="s">
        <v>271</v>
      </c>
      <c r="B40" s="9" t="s">
        <v>271</v>
      </c>
      <c r="C40" s="10">
        <f t="shared" ca="1" si="7"/>
        <v>1308.6112545430954</v>
      </c>
      <c r="D40" s="10">
        <f t="shared" ca="1" si="7"/>
        <v>1308.6112545430954</v>
      </c>
      <c r="E40" s="10">
        <f t="shared" ca="1" si="7"/>
        <v>1308.6112545430954</v>
      </c>
      <c r="F40" s="38"/>
      <c r="G40" s="12"/>
      <c r="H40" s="12"/>
      <c r="I40" s="12"/>
      <c r="J40" s="12"/>
      <c r="K40" s="39"/>
    </row>
    <row r="41" spans="1:11">
      <c r="A41" s="9" t="s">
        <v>272</v>
      </c>
      <c r="B41" s="9" t="s">
        <v>272</v>
      </c>
      <c r="C41" s="10">
        <f t="shared" ca="1" si="7"/>
        <v>1263.9862738928866</v>
      </c>
      <c r="D41" s="10">
        <f t="shared" ca="1" si="7"/>
        <v>1263.9862738928866</v>
      </c>
      <c r="E41" s="10">
        <f t="shared" ca="1" si="7"/>
        <v>1263.9862738928866</v>
      </c>
      <c r="F41" s="40"/>
      <c r="G41" s="41"/>
      <c r="H41" s="41"/>
      <c r="I41" s="41"/>
      <c r="J41" s="41"/>
      <c r="K41" s="42"/>
    </row>
    <row r="42" spans="1:11">
      <c r="A42" s="12"/>
      <c r="B42" s="390"/>
      <c r="C42" s="391"/>
      <c r="D42" s="391"/>
      <c r="E42" s="391"/>
      <c r="F42" s="391"/>
      <c r="G42" s="391"/>
      <c r="H42" s="391"/>
      <c r="I42" s="391"/>
      <c r="J42" s="391"/>
      <c r="K42" s="393"/>
    </row>
    <row r="43" spans="1:11">
      <c r="B43" s="4" t="s">
        <v>476</v>
      </c>
      <c r="C43" s="204" t="s">
        <v>207</v>
      </c>
      <c r="D43" s="204" t="s">
        <v>18</v>
      </c>
      <c r="E43" s="204" t="s">
        <v>208</v>
      </c>
      <c r="F43" s="35"/>
      <c r="G43" s="36"/>
      <c r="H43" s="36"/>
      <c r="I43" s="36"/>
      <c r="J43" s="36"/>
      <c r="K43" s="37"/>
    </row>
    <row r="44" spans="1:11">
      <c r="A44" s="9" t="s">
        <v>57</v>
      </c>
      <c r="B44" s="7" t="s">
        <v>57</v>
      </c>
      <c r="C44" s="10">
        <f ca="1">I$11*INDIRECT(CONCATENATE($A44,"_IMPERVIOUS"))</f>
        <v>82.323354818038197</v>
      </c>
      <c r="D44" s="10">
        <f t="shared" ref="D44:E44" ca="1" si="8">J$11*INDIRECT(CONCATENATE($A44,"_IMPERVIOUS"))</f>
        <v>170.52694926593622</v>
      </c>
      <c r="E44" s="10">
        <f t="shared" ca="1" si="8"/>
        <v>291.80689163179608</v>
      </c>
      <c r="F44" s="38"/>
      <c r="G44" s="12"/>
      <c r="H44" s="12"/>
      <c r="I44" s="12"/>
      <c r="J44" s="12"/>
      <c r="K44" s="39"/>
    </row>
    <row r="45" spans="1:11">
      <c r="A45" s="9" t="s">
        <v>266</v>
      </c>
      <c r="B45" s="9" t="s">
        <v>266</v>
      </c>
      <c r="C45" s="10">
        <f t="shared" ref="C45:C51" ca="1" si="9">I$11*INDIRECT(CONCATENATE($A45,"_IMPERVIOUS"))</f>
        <v>163.07437854640727</v>
      </c>
      <c r="D45" s="10">
        <f t="shared" ref="D45:D51" ca="1" si="10">J$11*INDIRECT(CONCATENATE($A45,"_IMPERVIOUS"))</f>
        <v>337.79692698898646</v>
      </c>
      <c r="E45" s="10">
        <f t="shared" ref="E45:E51" ca="1" si="11">K$11*INDIRECT(CONCATENATE($A45,"_IMPERVIOUS"))</f>
        <v>578.04043109753286</v>
      </c>
      <c r="F45" s="38"/>
      <c r="G45" s="12"/>
      <c r="H45" s="12"/>
      <c r="I45" s="12"/>
      <c r="J45" s="12"/>
      <c r="K45" s="39"/>
    </row>
    <row r="46" spans="1:11">
      <c r="A46" s="9" t="s">
        <v>267</v>
      </c>
      <c r="B46" s="9" t="s">
        <v>267</v>
      </c>
      <c r="C46" s="10">
        <f t="shared" ca="1" si="9"/>
        <v>77.351177242992136</v>
      </c>
      <c r="D46" s="10">
        <f t="shared" ca="1" si="10"/>
        <v>160.22743857476939</v>
      </c>
      <c r="E46" s="10">
        <f t="shared" ca="1" si="11"/>
        <v>274.18229790596314</v>
      </c>
      <c r="F46" s="38"/>
      <c r="G46" s="12"/>
      <c r="H46" s="12"/>
      <c r="I46" s="12"/>
      <c r="J46" s="12"/>
      <c r="K46" s="39"/>
    </row>
    <row r="47" spans="1:11">
      <c r="A47" s="9" t="s">
        <v>268</v>
      </c>
      <c r="B47" s="9" t="s">
        <v>268</v>
      </c>
      <c r="C47" s="10">
        <f t="shared" ca="1" si="9"/>
        <v>80.585379380680109</v>
      </c>
      <c r="D47" s="10">
        <f t="shared" ca="1" si="10"/>
        <v>166.92685728855162</v>
      </c>
      <c r="E47" s="10">
        <f t="shared" ca="1" si="11"/>
        <v>285.64638941187496</v>
      </c>
      <c r="F47" s="38"/>
      <c r="G47" s="12"/>
      <c r="H47" s="12"/>
      <c r="I47" s="12"/>
      <c r="J47" s="12"/>
      <c r="K47" s="39"/>
    </row>
    <row r="48" spans="1:11">
      <c r="A48" s="9" t="s">
        <v>269</v>
      </c>
      <c r="B48" s="9" t="s">
        <v>269</v>
      </c>
      <c r="C48" s="10">
        <f t="shared" ca="1" si="9"/>
        <v>85.910474484694959</v>
      </c>
      <c r="D48" s="10">
        <f t="shared" ca="1" si="10"/>
        <v>177.95741143258238</v>
      </c>
      <c r="E48" s="10">
        <f t="shared" ca="1" si="11"/>
        <v>304.52194973592759</v>
      </c>
      <c r="F48" s="38"/>
      <c r="G48" s="12"/>
      <c r="H48" s="12"/>
      <c r="I48" s="12"/>
      <c r="J48" s="12"/>
      <c r="K48" s="39"/>
    </row>
    <row r="49" spans="1:11">
      <c r="A49" s="9" t="s">
        <v>270</v>
      </c>
      <c r="B49" s="9" t="s">
        <v>270</v>
      </c>
      <c r="C49" s="10">
        <f t="shared" ca="1" si="9"/>
        <v>80.717237136532304</v>
      </c>
      <c r="D49" s="10">
        <f t="shared" ca="1" si="10"/>
        <v>167.19999121138832</v>
      </c>
      <c r="E49" s="10">
        <f t="shared" ca="1" si="11"/>
        <v>286.1137780643154</v>
      </c>
      <c r="F49" s="38"/>
      <c r="G49" s="12"/>
      <c r="H49" s="12"/>
      <c r="I49" s="12"/>
      <c r="J49" s="12"/>
      <c r="K49" s="39"/>
    </row>
    <row r="50" spans="1:11">
      <c r="A50" s="9" t="s">
        <v>271</v>
      </c>
      <c r="B50" s="9" t="s">
        <v>271</v>
      </c>
      <c r="C50" s="10">
        <f t="shared" ca="1" si="9"/>
        <v>83.218964094871154</v>
      </c>
      <c r="D50" s="10">
        <f t="shared" ca="1" si="10"/>
        <v>172.38213991080451</v>
      </c>
      <c r="E50" s="10">
        <f t="shared" ca="1" si="11"/>
        <v>294.98150665771288</v>
      </c>
      <c r="F50" s="38"/>
      <c r="G50" s="12"/>
      <c r="H50" s="12"/>
      <c r="I50" s="12"/>
      <c r="J50" s="12"/>
      <c r="K50" s="39"/>
    </row>
    <row r="51" spans="1:11">
      <c r="A51" s="9" t="s">
        <v>272</v>
      </c>
      <c r="B51" s="9" t="s">
        <v>272</v>
      </c>
      <c r="C51" s="10">
        <f t="shared" ca="1" si="9"/>
        <v>80.381112403185483</v>
      </c>
      <c r="D51" s="10">
        <f t="shared" ca="1" si="10"/>
        <v>166.5037328351699</v>
      </c>
      <c r="E51" s="10">
        <f t="shared" ca="1" si="11"/>
        <v>284.92233592914852</v>
      </c>
      <c r="F51" s="40"/>
      <c r="G51" s="41"/>
      <c r="H51" s="41"/>
      <c r="I51" s="41"/>
      <c r="J51" s="41"/>
      <c r="K51" s="42"/>
    </row>
    <row r="52" spans="1:11">
      <c r="B52" s="387" t="s">
        <v>242</v>
      </c>
      <c r="C52" s="388"/>
      <c r="D52" s="388"/>
      <c r="E52" s="388"/>
      <c r="F52" s="388"/>
      <c r="G52" s="388"/>
      <c r="H52" s="388"/>
      <c r="I52" s="388"/>
      <c r="J52" s="388"/>
      <c r="K52" s="389"/>
    </row>
    <row r="53" spans="1:11">
      <c r="B53" s="377" t="s">
        <v>336</v>
      </c>
      <c r="C53" s="378"/>
      <c r="D53" s="378"/>
      <c r="E53" s="378"/>
      <c r="F53" s="378"/>
      <c r="G53" s="378"/>
      <c r="H53" s="378"/>
      <c r="I53" s="378"/>
      <c r="J53" s="378"/>
      <c r="K53" s="379"/>
    </row>
    <row r="54" spans="1:11" ht="15.75" thickBot="1">
      <c r="B54" s="380" t="s">
        <v>273</v>
      </c>
      <c r="C54" s="381"/>
      <c r="D54" s="381"/>
      <c r="E54" s="381"/>
      <c r="F54" s="381"/>
      <c r="G54" s="381"/>
      <c r="H54" s="381"/>
      <c r="I54" s="381"/>
      <c r="J54" s="381"/>
      <c r="K54" s="382"/>
    </row>
    <row r="55" spans="1:11">
      <c r="B55" s="13"/>
      <c r="C55" s="13"/>
      <c r="D55" s="13"/>
      <c r="E55" s="13"/>
      <c r="F55" s="13"/>
      <c r="G55" s="13"/>
      <c r="H55" s="13"/>
      <c r="I55" s="13"/>
      <c r="J55" s="13"/>
      <c r="K55" s="13"/>
    </row>
  </sheetData>
  <mergeCells count="14">
    <mergeCell ref="B53:K53"/>
    <mergeCell ref="B54:K54"/>
    <mergeCell ref="B12:K12"/>
    <mergeCell ref="B5:B6"/>
    <mergeCell ref="I5:K5"/>
    <mergeCell ref="B52:K52"/>
    <mergeCell ref="B22:K22"/>
    <mergeCell ref="B32:K32"/>
    <mergeCell ref="B42:K42"/>
    <mergeCell ref="B1:K1"/>
    <mergeCell ref="B2:K2"/>
    <mergeCell ref="D3:K4"/>
    <mergeCell ref="C5:E5"/>
    <mergeCell ref="F5:H5"/>
  </mergeCells>
  <pageMargins left="0.7" right="0.7" top="0.75" bottom="0.75" header="0.3" footer="0.3"/>
  <pageSetup paperSize="9" orientation="portrait" verticalDpi="300" r:id="rId1"/>
</worksheet>
</file>

<file path=xl/worksheets/sheet5.xml><?xml version="1.0" encoding="utf-8"?>
<worksheet xmlns="http://schemas.openxmlformats.org/spreadsheetml/2006/main" xmlns:r="http://schemas.openxmlformats.org/officeDocument/2006/relationships">
  <sheetPr codeName="Sheet2"/>
  <dimension ref="A1:F57"/>
  <sheetViews>
    <sheetView topLeftCell="B2" zoomScale="85" zoomScaleNormal="85" workbookViewId="0">
      <selection activeCell="B1" sqref="A1:XFD1"/>
    </sheetView>
  </sheetViews>
  <sheetFormatPr defaultColWidth="9.140625" defaultRowHeight="15"/>
  <cols>
    <col min="1" max="1" width="10.7109375" style="31" hidden="1" customWidth="1"/>
    <col min="2" max="2" width="40.140625" style="31" bestFit="1" customWidth="1"/>
    <col min="3" max="3" width="19.5703125" style="31" bestFit="1" customWidth="1"/>
    <col min="4" max="4" width="22.7109375" style="31" bestFit="1" customWidth="1"/>
    <col min="5" max="16384" width="9.140625" style="31"/>
  </cols>
  <sheetData>
    <row r="1" spans="2:6" hidden="1">
      <c r="B1" s="31">
        <v>1</v>
      </c>
      <c r="C1" s="31">
        <v>2</v>
      </c>
      <c r="D1" s="31">
        <v>3</v>
      </c>
      <c r="E1" s="31">
        <v>4</v>
      </c>
    </row>
    <row r="2" spans="2:6" ht="31.5" customHeight="1">
      <c r="B2" s="400" t="s">
        <v>214</v>
      </c>
      <c r="C2" s="401"/>
      <c r="D2" s="401"/>
      <c r="E2" s="401"/>
      <c r="F2" s="401"/>
    </row>
    <row r="3" spans="2:6" ht="50.25" customHeight="1" thickBot="1">
      <c r="B3" s="402" t="s">
        <v>215</v>
      </c>
      <c r="C3" s="403"/>
      <c r="D3" s="403"/>
      <c r="E3" s="403"/>
      <c r="F3" s="403"/>
    </row>
    <row r="4" spans="2:6" ht="15.75" thickBot="1">
      <c r="B4" s="394" t="s">
        <v>319</v>
      </c>
      <c r="C4" s="395"/>
      <c r="D4" s="395"/>
      <c r="E4" s="395"/>
      <c r="F4" s="396"/>
    </row>
    <row r="5" spans="2:6" ht="15.75" thickBot="1">
      <c r="B5" s="32"/>
      <c r="C5" s="123"/>
      <c r="D5" s="123"/>
      <c r="E5" s="123"/>
      <c r="F5" s="33"/>
    </row>
    <row r="6" spans="2:6">
      <c r="B6" s="120" t="s">
        <v>52</v>
      </c>
      <c r="C6" s="121" t="s">
        <v>183</v>
      </c>
      <c r="D6" s="121" t="s">
        <v>184</v>
      </c>
      <c r="E6" s="404"/>
      <c r="F6" s="282"/>
    </row>
    <row r="7" spans="2:6">
      <c r="B7" s="105" t="s">
        <v>239</v>
      </c>
      <c r="C7" s="106">
        <f>C8*Pre_Construction_Cost_4</f>
        <v>9000</v>
      </c>
      <c r="D7" s="106">
        <f>D8*Pre_Construction_Cost_2</f>
        <v>7000</v>
      </c>
      <c r="E7" s="405"/>
      <c r="F7" s="283"/>
    </row>
    <row r="8" spans="2:6">
      <c r="B8" s="105" t="s">
        <v>240</v>
      </c>
      <c r="C8" s="106">
        <v>30000</v>
      </c>
      <c r="D8" s="106">
        <v>35000</v>
      </c>
      <c r="E8" s="405"/>
      <c r="F8" s="283"/>
    </row>
    <row r="9" spans="2:6">
      <c r="B9" s="105" t="s">
        <v>182</v>
      </c>
      <c r="C9" s="109">
        <v>0.1</v>
      </c>
      <c r="D9" s="109">
        <v>0</v>
      </c>
      <c r="E9" s="405"/>
      <c r="F9" s="283"/>
    </row>
    <row r="10" spans="2:6">
      <c r="B10" s="105" t="s">
        <v>151</v>
      </c>
      <c r="C10" s="106">
        <f>C8*OM_MED</f>
        <v>600</v>
      </c>
      <c r="D10" s="106">
        <f>D8*OM_High</f>
        <v>1750</v>
      </c>
      <c r="E10" s="405"/>
      <c r="F10" s="283"/>
    </row>
    <row r="11" spans="2:6">
      <c r="B11" s="105" t="s">
        <v>153</v>
      </c>
      <c r="C11" s="106">
        <f>C8*OM_Intermittent_Med</f>
        <v>600</v>
      </c>
      <c r="D11" s="106">
        <f>D8*OM_Intermittent_High</f>
        <v>1750</v>
      </c>
      <c r="E11" s="405"/>
      <c r="F11" s="283"/>
    </row>
    <row r="12" spans="2:6">
      <c r="B12" s="105" t="s">
        <v>243</v>
      </c>
      <c r="C12" s="106">
        <f>SUM(C10:C11)</f>
        <v>1200</v>
      </c>
      <c r="D12" s="106">
        <f>SUM(D10:D11)</f>
        <v>3500</v>
      </c>
      <c r="E12" s="406"/>
      <c r="F12" s="283"/>
    </row>
    <row r="13" spans="2:6" ht="12.75" customHeight="1">
      <c r="B13" s="105" t="s">
        <v>177</v>
      </c>
      <c r="C13" s="407"/>
      <c r="D13" s="408"/>
      <c r="E13" s="409"/>
      <c r="F13" s="283"/>
    </row>
    <row r="14" spans="2:6">
      <c r="B14" s="410"/>
      <c r="C14" s="408"/>
      <c r="D14" s="408"/>
      <c r="E14" s="409"/>
      <c r="F14" s="283"/>
    </row>
    <row r="15" spans="2:6">
      <c r="B15" s="7" t="s">
        <v>405</v>
      </c>
      <c r="C15" s="96">
        <v>20</v>
      </c>
      <c r="D15" s="407"/>
      <c r="E15" s="409"/>
      <c r="F15" s="283"/>
    </row>
    <row r="16" spans="2:6">
      <c r="B16" s="410"/>
      <c r="C16" s="408"/>
      <c r="D16" s="408"/>
      <c r="E16" s="409"/>
      <c r="F16" s="283"/>
    </row>
    <row r="17" spans="1:6">
      <c r="B17" s="110" t="s">
        <v>241</v>
      </c>
      <c r="C17" s="111" t="s">
        <v>183</v>
      </c>
      <c r="D17" s="111" t="s">
        <v>184</v>
      </c>
      <c r="E17" s="111" t="s">
        <v>19</v>
      </c>
      <c r="F17" s="283"/>
    </row>
    <row r="18" spans="1:6">
      <c r="A18" s="147" t="s">
        <v>57</v>
      </c>
      <c r="B18" s="105" t="s">
        <v>57</v>
      </c>
      <c r="C18" s="112">
        <f>(-PMT(Annual_rate,$C$15,(C$7+C$8))+Land_Cost_Watershed*Project_Acres_Developable*C$9*Annual_rate+C$12)*Watershed_Impervious</f>
        <v>1354.4189736101428</v>
      </c>
      <c r="D18" s="112">
        <f>(-PMT(Annual_rate,$C$15,(D$7+D$8))+Land_Cost_Watershed*Project_Acres_Developable*D$9*Annual_rate+D$12)*Watershed_Impervious</f>
        <v>1932.6014083475159</v>
      </c>
      <c r="E18" s="112">
        <f>AVERAGE(C18:D18)</f>
        <v>1643.5101909788293</v>
      </c>
      <c r="F18" s="284" t="str">
        <f ca="1">IF((-PMT(Annual_rate,$C$15,E29)+Annual_rate*E39+E49)=DDPHS_Watershed,"","Check")</f>
        <v/>
      </c>
    </row>
    <row r="19" spans="1:6">
      <c r="A19" s="147" t="s">
        <v>266</v>
      </c>
      <c r="B19" s="147" t="s">
        <v>266</v>
      </c>
      <c r="C19" s="112">
        <f>(-PMT(Annual_rate,$C$15,(C$7+C$8))+Land_Cost_DC*Project_Acres_Developable*C$9*Annual_rate+C$12)*DC_Impervious</f>
        <v>2682.9692849755065</v>
      </c>
      <c r="D19" s="112">
        <f>(-PMT(Annual_rate,$C$15,(D$7+D$8))+Land_Cost_DC*Project_Acres_Developable*D$9*Annual_rate+D$12)*DC_Impervious</f>
        <v>3828.2911859069081</v>
      </c>
      <c r="E19" s="112">
        <f t="shared" ref="E19:E25" si="0">AVERAGE(C19:D19)</f>
        <v>3255.6302354412073</v>
      </c>
      <c r="F19" s="284" t="str">
        <f ca="1">IF((-PMT(Annual_rate,$C$15,E30)+Annual_rate*E40+E50)=DDPHS_DC,"","Check")</f>
        <v/>
      </c>
    </row>
    <row r="20" spans="1:6">
      <c r="A20" s="147" t="s">
        <v>267</v>
      </c>
      <c r="B20" s="147" t="s">
        <v>267</v>
      </c>
      <c r="C20" s="112">
        <f>(-PMT(Annual_rate,$C$15,(C$7+C$8))+Land_Cost_DE*Project_Acres_Developable*C$9*Annual_rate+C$12)*DE_Impervious</f>
        <v>1272.6145857461333</v>
      </c>
      <c r="D20" s="112">
        <f>(-PMT(Annual_rate,$C$15,(D$7+D$8))+Land_Cost_DE*Project_Acres_Developable*D$9*Annual_rate+D$12)*DE_Impervious</f>
        <v>1815.8758763848359</v>
      </c>
      <c r="E20" s="112">
        <f t="shared" si="0"/>
        <v>1544.2452310654846</v>
      </c>
      <c r="F20" s="284" t="str">
        <f ca="1">IF((-PMT(Annual_rate,$C$15,E31)+Annual_rate*E41+E51)=DDPHS_DE,"","Check")</f>
        <v/>
      </c>
    </row>
    <row r="21" spans="1:6">
      <c r="A21" s="147" t="s">
        <v>268</v>
      </c>
      <c r="B21" s="147" t="s">
        <v>268</v>
      </c>
      <c r="C21" s="112">
        <f>(-PMT(Annual_rate,$C$15,(C$7+C$8))+Land_Cost_MD*Project_Acres_Developable*C$9*Annual_rate+C$12)*MD_Impervious</f>
        <v>1325.8250598510499</v>
      </c>
      <c r="D21" s="112">
        <f>(-PMT(Annual_rate,$C$15,(D$7+D$8))+Land_Cost_MD*Project_Acres_Developable*D$9*Annual_rate+D$12)*MD_Impervious</f>
        <v>1891.8011544543683</v>
      </c>
      <c r="E21" s="112">
        <f t="shared" si="0"/>
        <v>1608.8131071527091</v>
      </c>
      <c r="F21" s="284" t="str">
        <f ca="1">IF((-PMT(Annual_rate,$C$15,E32)+Annual_rate*E42+E52)=DDPHS_MD,"","Check")</f>
        <v/>
      </c>
    </row>
    <row r="22" spans="1:6">
      <c r="A22" s="147" t="s">
        <v>269</v>
      </c>
      <c r="B22" s="147" t="s">
        <v>269</v>
      </c>
      <c r="C22" s="112">
        <f>(-PMT(Annual_rate,$C$15,(C$7+C$8))+Land_Cost_NY*Project_Acres_Developable*C$9*Annual_rate+C$12)*NY_Impervious</f>
        <v>1413.4357975463006</v>
      </c>
      <c r="D22" s="112">
        <f>(-PMT(Annual_rate,$C$15,(D$7+D$8))+Land_Cost_NY*Project_Acres_Developable*D$9*Annual_rate+D$12)*NY_Impervious</f>
        <v>2016.8116854312786</v>
      </c>
      <c r="E22" s="112">
        <f t="shared" si="0"/>
        <v>1715.1237414887896</v>
      </c>
      <c r="F22" s="284" t="str">
        <f ca="1">IF((-PMT(Annual_rate,$C$15,E33)+Annual_rate*E43+E53)=DDPHS_NY,"","Check")</f>
        <v/>
      </c>
    </row>
    <row r="23" spans="1:6">
      <c r="A23" s="147" t="s">
        <v>270</v>
      </c>
      <c r="B23" s="147" t="s">
        <v>270</v>
      </c>
      <c r="C23" s="112">
        <f>(-PMT(Annual_rate,$C$15,(C$7+C$8))+Land_Cost_PA*Project_Acres_Developable*C$9*Annual_rate+C$12)*PA_Impervious</f>
        <v>1327.9944399344859</v>
      </c>
      <c r="D23" s="112">
        <f>(-PMT(Annual_rate,$C$15,(D$7+D$8))+Land_Cost_PA*Project_Acres_Developable*D$9*Annual_rate+D$12)*PA_Impervious</f>
        <v>1894.8966124228241</v>
      </c>
      <c r="E23" s="112">
        <f t="shared" si="0"/>
        <v>1611.445526178655</v>
      </c>
      <c r="F23" s="284" t="str">
        <f ca="1">IF((-PMT(Annual_rate,$C$15,E34)+Annual_rate*E44+E54)=DDPHS_PA,"","Check")</f>
        <v>Check</v>
      </c>
    </row>
    <row r="24" spans="1:6">
      <c r="A24" s="147" t="s">
        <v>271</v>
      </c>
      <c r="B24" s="147" t="s">
        <v>271</v>
      </c>
      <c r="C24" s="112">
        <f>(-PMT(Annual_rate,$C$15,(C$7+C$8))+Land_Cost_VA*Project_Acres_Developable*C$9*Annual_rate+C$12)*VA_Impervious</f>
        <v>1369.1539197279853</v>
      </c>
      <c r="D24" s="112">
        <f>(-PMT(Annual_rate,$C$15,(D$7+D$8))+Land_Cost_VA*Project_Acres_Developable*D$9*Annual_rate+D$12)*VA_Impervious</f>
        <v>1953.6264959859172</v>
      </c>
      <c r="E24" s="112">
        <f t="shared" si="0"/>
        <v>1661.3902078569513</v>
      </c>
      <c r="F24" s="284" t="str">
        <f ca="1">IF((-PMT(Annual_rate,$C$15,E35)+Annual_rate*E45+E55)=DDPHS_VA,"","Check")</f>
        <v/>
      </c>
    </row>
    <row r="25" spans="1:6">
      <c r="A25" s="147" t="s">
        <v>272</v>
      </c>
      <c r="B25" s="147" t="s">
        <v>272</v>
      </c>
      <c r="C25" s="112">
        <f>(-PMT(Annual_rate,$C$15,(C$7+C$8))+Land_Cost_WV*Project_Acres_Developable*C$9*Annual_rate+C$12)*WV_Impervious</f>
        <v>1322.4643723449076</v>
      </c>
      <c r="D25" s="112">
        <f>(-PMT(Annual_rate,$C$15,(D$7+D$8))+Land_Cost_WV*Project_Acres_Developable*D$9*Annual_rate+D$12)*WV_Impervious</f>
        <v>1887.0058366583726</v>
      </c>
      <c r="E25" s="112">
        <f t="shared" si="0"/>
        <v>1604.7351045016401</v>
      </c>
      <c r="F25" s="284" t="str">
        <f ca="1">IF((-PMT(Annual_rate,$C$15,E36)+Annual_rate*E46+E56)=DDPHS_WV,"","Check")</f>
        <v/>
      </c>
    </row>
    <row r="26" spans="1:6" ht="33" customHeight="1" thickBot="1">
      <c r="B26" s="397" t="s">
        <v>242</v>
      </c>
      <c r="C26" s="398"/>
      <c r="D26" s="398"/>
      <c r="E26" s="398"/>
      <c r="F26" s="399"/>
    </row>
    <row r="27" spans="1:6" ht="15.75" thickBot="1">
      <c r="B27" s="32"/>
      <c r="C27" s="123"/>
      <c r="D27" s="123"/>
      <c r="E27" s="123"/>
      <c r="F27" s="33"/>
    </row>
    <row r="28" spans="1:6">
      <c r="B28" s="117" t="s">
        <v>288</v>
      </c>
      <c r="C28" s="118" t="s">
        <v>183</v>
      </c>
      <c r="D28" s="118" t="s">
        <v>184</v>
      </c>
      <c r="E28" s="118" t="s">
        <v>19</v>
      </c>
      <c r="F28" s="411"/>
    </row>
    <row r="29" spans="1:6">
      <c r="A29" s="147" t="s">
        <v>57</v>
      </c>
      <c r="B29" s="105" t="s">
        <v>57</v>
      </c>
      <c r="C29" s="112">
        <f ca="1">(C$7+C$8)*INDIRECT(CONCATENATE($A29,"_IMPERVIOUS"))</f>
        <v>10097.317413489605</v>
      </c>
      <c r="D29" s="112">
        <f ca="1">(D$7+D$8)*INDIRECT(CONCATENATE($A29,"_IMPERVIOUS"))</f>
        <v>10874.034137604191</v>
      </c>
      <c r="E29" s="112">
        <f ca="1">AVERAGE(C29:D29)</f>
        <v>10485.675775546897</v>
      </c>
      <c r="F29" s="412"/>
    </row>
    <row r="30" spans="1:6">
      <c r="A30" s="147" t="s">
        <v>266</v>
      </c>
      <c r="B30" s="147" t="s">
        <v>266</v>
      </c>
      <c r="C30" s="112">
        <f t="shared" ref="C30:D36" ca="1" si="1">(C$7+C$8)*INDIRECT(CONCATENATE($A30,"_IMPERVIOUS"))</f>
        <v>20001.781582276308</v>
      </c>
      <c r="D30" s="112">
        <f t="shared" ca="1" si="1"/>
        <v>21540.380165528335</v>
      </c>
      <c r="E30" s="112">
        <f t="shared" ref="E30:E36" ca="1" si="2">AVERAGE(C30:D30)</f>
        <v>20771.08087390232</v>
      </c>
      <c r="F30" s="412"/>
    </row>
    <row r="31" spans="1:6">
      <c r="A31" s="147" t="s">
        <v>267</v>
      </c>
      <c r="B31" s="147" t="s">
        <v>267</v>
      </c>
      <c r="C31" s="112">
        <f t="shared" ca="1" si="1"/>
        <v>9487.458214694243</v>
      </c>
      <c r="D31" s="112">
        <f t="shared" ca="1" si="1"/>
        <v>10217.262692747647</v>
      </c>
      <c r="E31" s="112">
        <f t="shared" ca="1" si="2"/>
        <v>9852.3604537209449</v>
      </c>
      <c r="F31" s="412"/>
    </row>
    <row r="32" spans="1:6">
      <c r="A32" s="147" t="s">
        <v>268</v>
      </c>
      <c r="B32" s="147" t="s">
        <v>268</v>
      </c>
      <c r="C32" s="112">
        <f t="shared" ca="1" si="1"/>
        <v>9884.1471693147669</v>
      </c>
      <c r="D32" s="112">
        <f t="shared" ca="1" si="1"/>
        <v>10644.46618233898</v>
      </c>
      <c r="E32" s="112">
        <f t="shared" ca="1" si="2"/>
        <v>10264.306675826872</v>
      </c>
      <c r="F32" s="412"/>
    </row>
    <row r="33" spans="1:6">
      <c r="A33" s="147" t="s">
        <v>269</v>
      </c>
      <c r="B33" s="147" t="s">
        <v>269</v>
      </c>
      <c r="C33" s="112">
        <f t="shared" ca="1" si="1"/>
        <v>10537.293237536902</v>
      </c>
      <c r="D33" s="112">
        <f t="shared" ca="1" si="1"/>
        <v>11347.854255808972</v>
      </c>
      <c r="E33" s="112">
        <f t="shared" ca="1" si="2"/>
        <v>10942.573746672937</v>
      </c>
      <c r="F33" s="412"/>
    </row>
    <row r="34" spans="1:6">
      <c r="A34" s="147" t="s">
        <v>270</v>
      </c>
      <c r="B34" s="147" t="s">
        <v>270</v>
      </c>
      <c r="C34" s="112">
        <f t="shared" ca="1" si="1"/>
        <v>9900.3200963925447</v>
      </c>
      <c r="D34" s="112">
        <f t="shared" ca="1" si="1"/>
        <v>10661.883180730432</v>
      </c>
      <c r="E34" s="112">
        <f t="shared" ca="1" si="2"/>
        <v>10281.101638561489</v>
      </c>
      <c r="F34" s="412"/>
    </row>
    <row r="35" spans="1:6">
      <c r="A35" s="147" t="s">
        <v>271</v>
      </c>
      <c r="B35" s="147" t="s">
        <v>271</v>
      </c>
      <c r="C35" s="112">
        <f t="shared" ca="1" si="1"/>
        <v>10207.167785436144</v>
      </c>
      <c r="D35" s="112">
        <f t="shared" ca="1" si="1"/>
        <v>10992.334538162</v>
      </c>
      <c r="E35" s="112">
        <f t="shared" ca="1" si="2"/>
        <v>10599.751161799071</v>
      </c>
      <c r="F35" s="412"/>
    </row>
    <row r="36" spans="1:6">
      <c r="A36" s="147" t="s">
        <v>272</v>
      </c>
      <c r="B36" s="147" t="s">
        <v>272</v>
      </c>
      <c r="C36" s="112">
        <f t="shared" ca="1" si="1"/>
        <v>9859.0929363645155</v>
      </c>
      <c r="D36" s="112">
        <f t="shared" ca="1" si="1"/>
        <v>10617.484700700248</v>
      </c>
      <c r="E36" s="112">
        <f t="shared" ca="1" si="2"/>
        <v>10238.288818532383</v>
      </c>
      <c r="F36" s="413"/>
    </row>
    <row r="37" spans="1:6" ht="15.75" thickBot="1">
      <c r="B37" s="32"/>
      <c r="C37" s="123"/>
      <c r="D37" s="123"/>
      <c r="E37" s="123"/>
      <c r="F37" s="33"/>
    </row>
    <row r="38" spans="1:6">
      <c r="B38" s="117" t="s">
        <v>475</v>
      </c>
      <c r="C38" s="118" t="s">
        <v>183</v>
      </c>
      <c r="D38" s="118" t="s">
        <v>184</v>
      </c>
      <c r="E38" s="118" t="s">
        <v>19</v>
      </c>
      <c r="F38" s="411"/>
    </row>
    <row r="39" spans="1:6">
      <c r="A39" s="147" t="s">
        <v>57</v>
      </c>
      <c r="B39" s="105" t="s">
        <v>57</v>
      </c>
      <c r="C39" s="112">
        <f t="shared" ref="C39:D46" ca="1" si="3">(Land_Cost_Watershed*Project_Acres_Developable*C$9)*INDIRECT(CONCATENATE($A29,"_IMPERVIOUS"))</f>
        <v>1294.5278735243085</v>
      </c>
      <c r="D39" s="112">
        <f t="shared" ca="1" si="3"/>
        <v>0</v>
      </c>
      <c r="E39" s="112">
        <f ca="1">AVERAGE(C39:D39)</f>
        <v>647.26393676215423</v>
      </c>
      <c r="F39" s="412"/>
    </row>
    <row r="40" spans="1:6">
      <c r="A40" s="147" t="s">
        <v>266</v>
      </c>
      <c r="B40" s="147" t="s">
        <v>266</v>
      </c>
      <c r="C40" s="112">
        <f t="shared" ca="1" si="3"/>
        <v>2564.3309720867064</v>
      </c>
      <c r="D40" s="112">
        <f t="shared" ca="1" si="3"/>
        <v>0</v>
      </c>
      <c r="E40" s="112">
        <f t="shared" ref="E40:E46" ca="1" si="4">AVERAGE(C40:D40)</f>
        <v>1282.1654860433532</v>
      </c>
      <c r="F40" s="412"/>
    </row>
    <row r="41" spans="1:6">
      <c r="A41" s="147" t="s">
        <v>267</v>
      </c>
      <c r="B41" s="147" t="s">
        <v>267</v>
      </c>
      <c r="C41" s="112">
        <f t="shared" ca="1" si="3"/>
        <v>1216.3407967556723</v>
      </c>
      <c r="D41" s="112">
        <f t="shared" ca="1" si="3"/>
        <v>0</v>
      </c>
      <c r="E41" s="112">
        <f t="shared" ca="1" si="4"/>
        <v>608.17039837783614</v>
      </c>
      <c r="F41" s="412"/>
    </row>
    <row r="42" spans="1:6">
      <c r="A42" s="147" t="s">
        <v>268</v>
      </c>
      <c r="B42" s="147" t="s">
        <v>268</v>
      </c>
      <c r="C42" s="112">
        <f t="shared" ca="1" si="3"/>
        <v>1267.1983550403547</v>
      </c>
      <c r="D42" s="112">
        <f t="shared" ca="1" si="3"/>
        <v>0</v>
      </c>
      <c r="E42" s="112">
        <f t="shared" ca="1" si="4"/>
        <v>633.59917752017736</v>
      </c>
      <c r="F42" s="412"/>
    </row>
    <row r="43" spans="1:6">
      <c r="A43" s="147" t="s">
        <v>269</v>
      </c>
      <c r="B43" s="147" t="s">
        <v>269</v>
      </c>
      <c r="C43" s="112">
        <f t="shared" ca="1" si="3"/>
        <v>1350.9350304534489</v>
      </c>
      <c r="D43" s="112">
        <f t="shared" ca="1" si="3"/>
        <v>0</v>
      </c>
      <c r="E43" s="112">
        <f t="shared" ca="1" si="4"/>
        <v>675.46751522672446</v>
      </c>
      <c r="F43" s="412"/>
    </row>
    <row r="44" spans="1:6">
      <c r="A44" s="147" t="s">
        <v>270</v>
      </c>
      <c r="B44" s="147" t="s">
        <v>270</v>
      </c>
      <c r="C44" s="112">
        <f t="shared" ca="1" si="3"/>
        <v>1269.2718072298135</v>
      </c>
      <c r="D44" s="112">
        <f t="shared" ca="1" si="3"/>
        <v>0</v>
      </c>
      <c r="E44" s="112">
        <f t="shared" ca="1" si="4"/>
        <v>634.63590361490674</v>
      </c>
      <c r="F44" s="412"/>
    </row>
    <row r="45" spans="1:6">
      <c r="A45" s="147" t="s">
        <v>271</v>
      </c>
      <c r="B45" s="147" t="s">
        <v>271</v>
      </c>
      <c r="C45" s="112">
        <f t="shared" ca="1" si="3"/>
        <v>1308.6112545430954</v>
      </c>
      <c r="D45" s="112">
        <f t="shared" ca="1" si="3"/>
        <v>0</v>
      </c>
      <c r="E45" s="112">
        <f t="shared" ca="1" si="4"/>
        <v>654.30562727154768</v>
      </c>
      <c r="F45" s="412"/>
    </row>
    <row r="46" spans="1:6">
      <c r="A46" s="147" t="s">
        <v>272</v>
      </c>
      <c r="B46" s="147" t="s">
        <v>272</v>
      </c>
      <c r="C46" s="112">
        <f t="shared" ca="1" si="3"/>
        <v>1263.9862738928866</v>
      </c>
      <c r="D46" s="112">
        <f t="shared" ca="1" si="3"/>
        <v>0</v>
      </c>
      <c r="E46" s="112">
        <f t="shared" ca="1" si="4"/>
        <v>631.99313694644331</v>
      </c>
      <c r="F46" s="413"/>
    </row>
    <row r="47" spans="1:6" ht="15.75" thickBot="1">
      <c r="B47" s="32"/>
      <c r="C47" s="123"/>
      <c r="D47" s="123"/>
      <c r="E47" s="123"/>
      <c r="F47" s="33"/>
    </row>
    <row r="48" spans="1:6">
      <c r="B48" s="117" t="s">
        <v>476</v>
      </c>
      <c r="C48" s="118" t="s">
        <v>183</v>
      </c>
      <c r="D48" s="118" t="s">
        <v>184</v>
      </c>
      <c r="E48" s="118" t="s">
        <v>19</v>
      </c>
      <c r="F48" s="411"/>
    </row>
    <row r="49" spans="1:6">
      <c r="A49" s="147" t="s">
        <v>57</v>
      </c>
      <c r="B49" s="105" t="s">
        <v>57</v>
      </c>
      <c r="C49" s="112">
        <f ca="1">C$12*INDIRECT(CONCATENATE($A49,"_IMPERVIOUS"))</f>
        <v>310.68668964583401</v>
      </c>
      <c r="D49" s="112">
        <f ca="1">D$12*INDIRECT(CONCATENATE($A49,"_IMPERVIOUS"))</f>
        <v>906.16951146701592</v>
      </c>
      <c r="E49" s="112">
        <f ca="1">AVERAGE(C49:D49)</f>
        <v>608.42810055642497</v>
      </c>
      <c r="F49" s="412"/>
    </row>
    <row r="50" spans="1:6">
      <c r="A50" s="147" t="s">
        <v>266</v>
      </c>
      <c r="B50" s="147" t="s">
        <v>266</v>
      </c>
      <c r="C50" s="112">
        <f t="shared" ref="C50:D56" ca="1" si="5">C$12*INDIRECT(CONCATENATE($A50,"_IMPERVIOUS"))</f>
        <v>615.43943330080947</v>
      </c>
      <c r="D50" s="112">
        <f t="shared" ca="1" si="5"/>
        <v>1795.0316804606944</v>
      </c>
      <c r="E50" s="112">
        <f t="shared" ref="E50:E56" ca="1" si="6">AVERAGE(C50:D50)</f>
        <v>1205.235556880752</v>
      </c>
      <c r="F50" s="412"/>
    </row>
    <row r="51" spans="1:6">
      <c r="A51" s="147" t="s">
        <v>267</v>
      </c>
      <c r="B51" s="147" t="s">
        <v>267</v>
      </c>
      <c r="C51" s="112">
        <f t="shared" ca="1" si="5"/>
        <v>291.92179122136133</v>
      </c>
      <c r="D51" s="112">
        <f t="shared" ca="1" si="5"/>
        <v>851.43855772897052</v>
      </c>
      <c r="E51" s="112">
        <f t="shared" ca="1" si="6"/>
        <v>571.68017447516593</v>
      </c>
      <c r="F51" s="412"/>
    </row>
    <row r="52" spans="1:6">
      <c r="A52" s="147" t="s">
        <v>268</v>
      </c>
      <c r="B52" s="147" t="s">
        <v>268</v>
      </c>
      <c r="C52" s="112">
        <f t="shared" ca="1" si="5"/>
        <v>304.12760520968516</v>
      </c>
      <c r="D52" s="112">
        <f t="shared" ca="1" si="5"/>
        <v>887.03884852824842</v>
      </c>
      <c r="E52" s="112">
        <f t="shared" ca="1" si="6"/>
        <v>595.58322686896679</v>
      </c>
      <c r="F52" s="412"/>
    </row>
    <row r="53" spans="1:6">
      <c r="A53" s="147" t="s">
        <v>269</v>
      </c>
      <c r="B53" s="147" t="s">
        <v>269</v>
      </c>
      <c r="C53" s="112">
        <f t="shared" ca="1" si="5"/>
        <v>324.22440730882778</v>
      </c>
      <c r="D53" s="112">
        <f t="shared" ca="1" si="5"/>
        <v>945.65452131741426</v>
      </c>
      <c r="E53" s="112">
        <f t="shared" ca="1" si="6"/>
        <v>634.93946431312099</v>
      </c>
      <c r="F53" s="412"/>
    </row>
    <row r="54" spans="1:6">
      <c r="A54" s="147" t="s">
        <v>270</v>
      </c>
      <c r="B54" s="147" t="s">
        <v>270</v>
      </c>
      <c r="C54" s="112">
        <f t="shared" ca="1" si="5"/>
        <v>304.62523373515523</v>
      </c>
      <c r="D54" s="112">
        <f t="shared" ca="1" si="5"/>
        <v>888.49026506086943</v>
      </c>
      <c r="E54" s="112">
        <f t="shared" ca="1" si="6"/>
        <v>596.55774939801233</v>
      </c>
      <c r="F54" s="412"/>
    </row>
    <row r="55" spans="1:6">
      <c r="A55" s="147" t="s">
        <v>271</v>
      </c>
      <c r="B55" s="147" t="s">
        <v>271</v>
      </c>
      <c r="C55" s="112">
        <f t="shared" ca="1" si="5"/>
        <v>314.06670109034286</v>
      </c>
      <c r="D55" s="112">
        <f t="shared" ca="1" si="5"/>
        <v>916.02787818016668</v>
      </c>
      <c r="E55" s="112">
        <f t="shared" ca="1" si="6"/>
        <v>615.04728963525474</v>
      </c>
      <c r="F55" s="412"/>
    </row>
    <row r="56" spans="1:6">
      <c r="A56" s="147" t="s">
        <v>272</v>
      </c>
      <c r="B56" s="147" t="s">
        <v>272</v>
      </c>
      <c r="C56" s="112">
        <f t="shared" ca="1" si="5"/>
        <v>303.3567057342928</v>
      </c>
      <c r="D56" s="112">
        <f t="shared" ca="1" si="5"/>
        <v>884.79039172502064</v>
      </c>
      <c r="E56" s="112">
        <f t="shared" ca="1" si="6"/>
        <v>594.07354872965675</v>
      </c>
      <c r="F56" s="413"/>
    </row>
    <row r="57" spans="1:6" ht="33" customHeight="1" thickBot="1">
      <c r="B57" s="397" t="s">
        <v>242</v>
      </c>
      <c r="C57" s="398"/>
      <c r="D57" s="398"/>
      <c r="E57" s="398"/>
      <c r="F57" s="399"/>
    </row>
  </sheetData>
  <mergeCells count="13">
    <mergeCell ref="B4:F4"/>
    <mergeCell ref="B26:F26"/>
    <mergeCell ref="B2:F2"/>
    <mergeCell ref="B3:F3"/>
    <mergeCell ref="B57:F57"/>
    <mergeCell ref="E6:E12"/>
    <mergeCell ref="C13:E13"/>
    <mergeCell ref="B14:E14"/>
    <mergeCell ref="D15:E15"/>
    <mergeCell ref="B16:E16"/>
    <mergeCell ref="F48:F56"/>
    <mergeCell ref="F28:F36"/>
    <mergeCell ref="F38:F46"/>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sheetPr codeName="Sheet33"/>
  <dimension ref="A1:H32"/>
  <sheetViews>
    <sheetView topLeftCell="B2" zoomScale="85" zoomScaleNormal="85" workbookViewId="0">
      <selection activeCell="B1" sqref="A1:XFD1"/>
    </sheetView>
  </sheetViews>
  <sheetFormatPr defaultColWidth="9.140625" defaultRowHeight="15"/>
  <cols>
    <col min="1" max="1" width="10.7109375" style="31" hidden="1" customWidth="1"/>
    <col min="2" max="2" width="45.140625" style="31" bestFit="1" customWidth="1"/>
    <col min="3" max="3" width="30" style="31" customWidth="1"/>
    <col min="4" max="4" width="27.140625" style="31" bestFit="1" customWidth="1"/>
    <col min="5" max="5" width="23.42578125" style="31" bestFit="1" customWidth="1"/>
    <col min="6" max="16384" width="9.140625" style="31"/>
  </cols>
  <sheetData>
    <row r="1" spans="1:8" hidden="1">
      <c r="B1" s="31">
        <v>1</v>
      </c>
      <c r="C1" s="31">
        <v>2</v>
      </c>
      <c r="D1" s="31">
        <v>3</v>
      </c>
      <c r="E1" s="31">
        <v>4</v>
      </c>
    </row>
    <row r="2" spans="1:8" ht="30.75" customHeight="1" thickBot="1">
      <c r="B2" s="402" t="s">
        <v>216</v>
      </c>
      <c r="C2" s="403"/>
      <c r="D2" s="403"/>
      <c r="E2" s="403"/>
    </row>
    <row r="3" spans="1:8" ht="15.75" thickBot="1">
      <c r="B3" s="394" t="s">
        <v>320</v>
      </c>
      <c r="C3" s="395"/>
      <c r="D3" s="395"/>
      <c r="E3" s="396"/>
    </row>
    <row r="4" spans="1:8" ht="15.75" thickBot="1">
      <c r="B4" s="154"/>
      <c r="C4" s="123"/>
      <c r="D4" s="123"/>
      <c r="E4" s="33"/>
    </row>
    <row r="5" spans="1:8">
      <c r="B5" s="120" t="s">
        <v>52</v>
      </c>
      <c r="C5" s="151" t="s">
        <v>39</v>
      </c>
      <c r="D5" s="414"/>
      <c r="E5" s="415"/>
      <c r="F5" s="123"/>
      <c r="G5" s="123"/>
      <c r="H5" s="123"/>
    </row>
    <row r="6" spans="1:8">
      <c r="B6" s="105" t="s">
        <v>239</v>
      </c>
      <c r="C6" s="106">
        <f>C7*Pre_Construction_Cost_4</f>
        <v>6000</v>
      </c>
      <c r="D6" s="416"/>
      <c r="E6" s="417"/>
      <c r="F6" s="123"/>
      <c r="G6" s="123"/>
      <c r="H6" s="123"/>
    </row>
    <row r="7" spans="1:8">
      <c r="B7" s="105" t="s">
        <v>240</v>
      </c>
      <c r="C7" s="106">
        <v>20000</v>
      </c>
      <c r="D7" s="416"/>
      <c r="E7" s="417"/>
      <c r="F7" s="123"/>
      <c r="G7" s="123"/>
      <c r="H7" s="123"/>
    </row>
    <row r="8" spans="1:8">
      <c r="B8" s="105" t="s">
        <v>244</v>
      </c>
      <c r="C8" s="106">
        <f>C7*0</f>
        <v>0</v>
      </c>
      <c r="D8" s="416"/>
      <c r="E8" s="417"/>
      <c r="F8" s="123"/>
      <c r="G8" s="123"/>
      <c r="H8" s="123"/>
    </row>
    <row r="9" spans="1:8">
      <c r="B9" s="105" t="s">
        <v>177</v>
      </c>
      <c r="C9" s="96"/>
      <c r="D9" s="416"/>
      <c r="E9" s="417"/>
      <c r="F9" s="123"/>
      <c r="G9" s="123"/>
      <c r="H9" s="123"/>
    </row>
    <row r="10" spans="1:8">
      <c r="B10" s="410"/>
      <c r="C10" s="409"/>
      <c r="D10" s="416"/>
      <c r="E10" s="417"/>
      <c r="F10" s="123"/>
      <c r="G10" s="123"/>
      <c r="H10" s="123"/>
    </row>
    <row r="11" spans="1:8">
      <c r="B11" s="7" t="s">
        <v>405</v>
      </c>
      <c r="C11" s="96">
        <v>20</v>
      </c>
      <c r="D11" s="416"/>
      <c r="E11" s="417"/>
      <c r="F11" s="123"/>
      <c r="G11" s="123"/>
      <c r="H11" s="123"/>
    </row>
    <row r="12" spans="1:8">
      <c r="B12" s="410"/>
      <c r="C12" s="409"/>
      <c r="D12" s="418"/>
      <c r="E12" s="419"/>
      <c r="F12" s="123"/>
      <c r="G12" s="123"/>
      <c r="H12" s="123"/>
    </row>
    <row r="13" spans="1:8">
      <c r="B13" s="105"/>
      <c r="C13" s="146" t="s">
        <v>241</v>
      </c>
      <c r="D13" s="146" t="s">
        <v>288</v>
      </c>
      <c r="E13" s="152" t="s">
        <v>476</v>
      </c>
      <c r="F13" s="123"/>
      <c r="G13" s="123"/>
      <c r="H13" s="123"/>
    </row>
    <row r="14" spans="1:8">
      <c r="A14" s="147" t="s">
        <v>57</v>
      </c>
      <c r="B14" s="105" t="s">
        <v>57</v>
      </c>
      <c r="C14" s="112">
        <f>(-PMT(Annual_rate,$C$11,(C$6+C$7)) +C$8)*Watershed_Impervious</f>
        <v>635.41022187840474</v>
      </c>
      <c r="D14" s="148">
        <f ca="1">(C$6+C$7)*INDIRECT(CONCATENATE($A14,"_IMPERVIOUS"))</f>
        <v>6731.5449423264045</v>
      </c>
      <c r="E14" s="153">
        <f ca="1">C$8*INDIRECT(CONCATENATE($A14,"_IMPERVIOUS"))</f>
        <v>0</v>
      </c>
      <c r="F14" s="123"/>
      <c r="G14" s="123"/>
      <c r="H14" s="123"/>
    </row>
    <row r="15" spans="1:8">
      <c r="A15" s="147" t="s">
        <v>266</v>
      </c>
      <c r="B15" s="147" t="s">
        <v>266</v>
      </c>
      <c r="C15" s="112">
        <f>(-PMT(Annual_rate,$C$11,(C$6+C$7)) +C$8)*DC_Impervious</f>
        <v>1258.6844557524182</v>
      </c>
      <c r="D15" s="148">
        <f t="shared" ref="D15:D21" ca="1" si="0">(C$6+C$7)*INDIRECT(CONCATENATE($A15,"_IMPERVIOUS"))</f>
        <v>13334.521054850873</v>
      </c>
      <c r="E15" s="153">
        <f t="shared" ref="E15:E21" ca="1" si="1">C$8*INDIRECT(CONCATENATE($A15,"_IMPERVIOUS"))</f>
        <v>0</v>
      </c>
      <c r="F15" s="123"/>
      <c r="G15" s="123"/>
      <c r="H15" s="123"/>
    </row>
    <row r="16" spans="1:8">
      <c r="A16" s="147" t="s">
        <v>267</v>
      </c>
      <c r="B16" s="147" t="s">
        <v>267</v>
      </c>
      <c r="C16" s="112">
        <f>(-PMT(Annual_rate,$C$11,(C$6+C$7)) +C$8)*DE_Impervious</f>
        <v>597.03262583458331</v>
      </c>
      <c r="D16" s="148">
        <f t="shared" ca="1" si="0"/>
        <v>6324.9721431294956</v>
      </c>
      <c r="E16" s="153">
        <f t="shared" ca="1" si="1"/>
        <v>0</v>
      </c>
      <c r="F16" s="123"/>
      <c r="G16" s="123"/>
      <c r="H16" s="123"/>
    </row>
    <row r="17" spans="1:8">
      <c r="A17" s="147" t="s">
        <v>268</v>
      </c>
      <c r="B17" s="147" t="s">
        <v>268</v>
      </c>
      <c r="C17" s="112">
        <f>(-PMT(Annual_rate,$C$11,(C$6+C$7)) +C$8)*MD_Impervious</f>
        <v>621.99571319235997</v>
      </c>
      <c r="D17" s="148">
        <f t="shared" ca="1" si="0"/>
        <v>6589.4314462098455</v>
      </c>
      <c r="E17" s="153">
        <f t="shared" ca="1" si="1"/>
        <v>0</v>
      </c>
      <c r="F17" s="123"/>
      <c r="G17" s="123"/>
      <c r="H17" s="123"/>
    </row>
    <row r="18" spans="1:8">
      <c r="A18" s="147" t="s">
        <v>269</v>
      </c>
      <c r="B18" s="147" t="s">
        <v>269</v>
      </c>
      <c r="C18" s="112">
        <f>(-PMT(Annual_rate,$C$11,(C$6+C$7)) +C$8)*NY_Impervious</f>
        <v>663.09729207048747</v>
      </c>
      <c r="D18" s="148">
        <f t="shared" ca="1" si="0"/>
        <v>7024.8621583579343</v>
      </c>
      <c r="E18" s="153">
        <f t="shared" ca="1" si="1"/>
        <v>0</v>
      </c>
      <c r="F18" s="123"/>
      <c r="G18" s="123"/>
      <c r="H18" s="123"/>
    </row>
    <row r="19" spans="1:8">
      <c r="A19" s="147" t="s">
        <v>270</v>
      </c>
      <c r="B19" s="147" t="s">
        <v>270</v>
      </c>
      <c r="C19" s="112">
        <f>(-PMT(Annual_rate,$C$11,(C$6+C$7)) +C$8)*PA_Impervious</f>
        <v>623.01345312882904</v>
      </c>
      <c r="D19" s="148">
        <f t="shared" ca="1" si="0"/>
        <v>6600.2133975950301</v>
      </c>
      <c r="E19" s="153">
        <f t="shared" ca="1" si="1"/>
        <v>0</v>
      </c>
      <c r="F19" s="123"/>
      <c r="G19" s="123"/>
      <c r="H19" s="123"/>
    </row>
    <row r="20" spans="1:8">
      <c r="A20" s="147" t="s">
        <v>271</v>
      </c>
      <c r="B20" s="147" t="s">
        <v>271</v>
      </c>
      <c r="C20" s="112">
        <f>(-PMT(Annual_rate,$C$11,(C$6+C$7)) +C$8)*VA_Impervious</f>
        <v>642.32295387975046</v>
      </c>
      <c r="D20" s="148">
        <f t="shared" ca="1" si="0"/>
        <v>6804.7785236240952</v>
      </c>
      <c r="E20" s="153">
        <f t="shared" ca="1" si="1"/>
        <v>0</v>
      </c>
      <c r="F20" s="123"/>
      <c r="G20" s="123"/>
      <c r="H20" s="123"/>
    </row>
    <row r="21" spans="1:8">
      <c r="A21" s="147" t="s">
        <v>272</v>
      </c>
      <c r="B21" s="147" t="s">
        <v>272</v>
      </c>
      <c r="C21" s="112">
        <f>(-PMT(Annual_rate,$C$11,(C$6+C$7)) +C$8)*WV_Impervious</f>
        <v>620.41908495874179</v>
      </c>
      <c r="D21" s="148">
        <f t="shared" ca="1" si="0"/>
        <v>6572.7286242430109</v>
      </c>
      <c r="E21" s="153">
        <f t="shared" ca="1" si="1"/>
        <v>0</v>
      </c>
      <c r="F21" s="123"/>
      <c r="G21" s="123"/>
      <c r="H21" s="123"/>
    </row>
    <row r="22" spans="1:8" ht="15.75" thickBot="1">
      <c r="B22" s="114" t="s">
        <v>242</v>
      </c>
      <c r="C22" s="115"/>
      <c r="D22" s="115"/>
      <c r="E22" s="116"/>
      <c r="F22" s="123"/>
      <c r="G22" s="123"/>
      <c r="H22" s="123"/>
    </row>
    <row r="24" spans="1:8">
      <c r="C24" s="149"/>
    </row>
    <row r="25" spans="1:8">
      <c r="C25" s="149"/>
    </row>
    <row r="26" spans="1:8">
      <c r="C26" s="149"/>
    </row>
    <row r="27" spans="1:8">
      <c r="C27" s="149"/>
    </row>
    <row r="28" spans="1:8">
      <c r="C28" s="149"/>
    </row>
    <row r="29" spans="1:8">
      <c r="C29" s="149"/>
    </row>
    <row r="30" spans="1:8">
      <c r="C30" s="149"/>
    </row>
    <row r="31" spans="1:8">
      <c r="C31" s="149"/>
    </row>
    <row r="32" spans="1:8">
      <c r="C32" s="149"/>
    </row>
  </sheetData>
  <mergeCells count="5">
    <mergeCell ref="B3:E3"/>
    <mergeCell ref="B10:C10"/>
    <mergeCell ref="B12:C12"/>
    <mergeCell ref="D5:E12"/>
    <mergeCell ref="B2:E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sheetPr codeName="Sheet28"/>
  <dimension ref="A1:K55"/>
  <sheetViews>
    <sheetView topLeftCell="B1" zoomScale="85" zoomScaleNormal="85" workbookViewId="0">
      <selection activeCell="I15" sqref="I15"/>
    </sheetView>
  </sheetViews>
  <sheetFormatPr defaultColWidth="9.140625" defaultRowHeight="15"/>
  <cols>
    <col min="1" max="1" width="14.5703125" style="31" hidden="1" customWidth="1"/>
    <col min="2" max="2" width="55.7109375" style="31" customWidth="1"/>
    <col min="3" max="3" width="19.42578125" style="31" bestFit="1" customWidth="1"/>
    <col min="4" max="4" width="19.28515625" style="31" bestFit="1" customWidth="1"/>
    <col min="5" max="5" width="20.7109375" style="31" customWidth="1"/>
    <col min="6" max="6" width="9.140625" style="31"/>
    <col min="7" max="7" width="8.85546875" style="31" customWidth="1"/>
    <col min="8" max="8" width="9.85546875" style="31" bestFit="1" customWidth="1"/>
    <col min="9" max="11" width="8.5703125" style="31" customWidth="1"/>
    <col min="12" max="16384" width="9.140625" style="31"/>
  </cols>
  <sheetData>
    <row r="1" spans="1:11" ht="30.75" customHeight="1" thickBot="1">
      <c r="B1" s="402" t="s">
        <v>217</v>
      </c>
      <c r="C1" s="420"/>
      <c r="D1" s="420"/>
      <c r="E1" s="420"/>
      <c r="F1" s="420"/>
      <c r="G1" s="420"/>
      <c r="H1" s="420"/>
      <c r="I1" s="420"/>
      <c r="J1" s="420"/>
      <c r="K1" s="420"/>
    </row>
    <row r="2" spans="1:11" s="3" customFormat="1">
      <c r="B2" s="338" t="s">
        <v>321</v>
      </c>
      <c r="C2" s="336"/>
      <c r="D2" s="336"/>
      <c r="E2" s="336"/>
      <c r="F2" s="336"/>
      <c r="G2" s="336"/>
      <c r="H2" s="336"/>
      <c r="I2" s="336"/>
      <c r="J2" s="336"/>
      <c r="K2" s="337"/>
    </row>
    <row r="3" spans="1:11" s="3" customFormat="1">
      <c r="B3" s="4" t="s">
        <v>405</v>
      </c>
      <c r="C3" s="5">
        <v>20</v>
      </c>
      <c r="D3" s="374"/>
      <c r="E3" s="374"/>
      <c r="F3" s="374"/>
      <c r="G3" s="374"/>
      <c r="H3" s="374"/>
      <c r="I3" s="374"/>
      <c r="J3" s="374"/>
      <c r="K3" s="375"/>
    </row>
    <row r="4" spans="1:11" s="3" customFormat="1" hidden="1">
      <c r="B4" s="7" t="s">
        <v>254</v>
      </c>
      <c r="C4" s="6" t="s">
        <v>256</v>
      </c>
      <c r="D4" s="374"/>
      <c r="E4" s="374"/>
      <c r="F4" s="374"/>
      <c r="G4" s="374"/>
      <c r="H4" s="374"/>
      <c r="I4" s="374"/>
      <c r="J4" s="374"/>
      <c r="K4" s="375"/>
    </row>
    <row r="5" spans="1:11" s="3" customFormat="1">
      <c r="B5" s="383"/>
      <c r="C5" s="376" t="s">
        <v>175</v>
      </c>
      <c r="D5" s="376"/>
      <c r="E5" s="376"/>
      <c r="F5" s="376" t="s">
        <v>176</v>
      </c>
      <c r="G5" s="376"/>
      <c r="H5" s="376"/>
      <c r="I5" s="328" t="s">
        <v>335</v>
      </c>
      <c r="J5" s="328"/>
      <c r="K5" s="386"/>
    </row>
    <row r="6" spans="1:11" s="3" customFormat="1">
      <c r="B6" s="383"/>
      <c r="C6" s="181" t="s">
        <v>252</v>
      </c>
      <c r="D6" s="181" t="s">
        <v>18</v>
      </c>
      <c r="E6" s="181" t="s">
        <v>253</v>
      </c>
      <c r="F6" s="181" t="s">
        <v>252</v>
      </c>
      <c r="G6" s="181" t="s">
        <v>18</v>
      </c>
      <c r="H6" s="181" t="s">
        <v>253</v>
      </c>
      <c r="I6" s="181" t="s">
        <v>252</v>
      </c>
      <c r="J6" s="181" t="s">
        <v>18</v>
      </c>
      <c r="K6" s="182" t="s">
        <v>253</v>
      </c>
    </row>
    <row r="7" spans="1:11" s="3" customFormat="1">
      <c r="B7" s="7" t="s">
        <v>257</v>
      </c>
      <c r="C7" s="6">
        <v>18150</v>
      </c>
      <c r="D7" s="6">
        <v>58100</v>
      </c>
      <c r="E7" s="6">
        <v>79900</v>
      </c>
      <c r="F7" s="6">
        <v>18150</v>
      </c>
      <c r="G7" s="6">
        <v>58100</v>
      </c>
      <c r="H7" s="6">
        <v>79900</v>
      </c>
      <c r="I7" s="6">
        <f t="shared" ref="I7:K8" si="0">AVERAGE(C7,F7)</f>
        <v>18150</v>
      </c>
      <c r="J7" s="6">
        <f t="shared" si="0"/>
        <v>58100</v>
      </c>
      <c r="K7" s="8">
        <f t="shared" si="0"/>
        <v>79900</v>
      </c>
    </row>
    <row r="8" spans="1:11" s="3" customFormat="1">
      <c r="B8" s="7" t="s">
        <v>258</v>
      </c>
      <c r="C8" s="6">
        <f t="shared" ref="C8:H8" si="1">C7*CCI_2006</f>
        <v>20611.05663785318</v>
      </c>
      <c r="D8" s="6">
        <f t="shared" si="1"/>
        <v>65978.093149271066</v>
      </c>
      <c r="E8" s="6">
        <f t="shared" si="1"/>
        <v>90734.073022835772</v>
      </c>
      <c r="F8" s="6">
        <f t="shared" si="1"/>
        <v>20611.05663785318</v>
      </c>
      <c r="G8" s="6">
        <f t="shared" si="1"/>
        <v>65978.093149271066</v>
      </c>
      <c r="H8" s="6">
        <f t="shared" si="1"/>
        <v>90734.073022835772</v>
      </c>
      <c r="I8" s="6">
        <f t="shared" si="0"/>
        <v>20611.05663785318</v>
      </c>
      <c r="J8" s="6">
        <f t="shared" si="0"/>
        <v>65978.093149271066</v>
      </c>
      <c r="K8" s="8">
        <f t="shared" si="0"/>
        <v>90734.073022835772</v>
      </c>
    </row>
    <row r="9" spans="1:11" s="3" customFormat="1">
      <c r="B9" s="7" t="s">
        <v>262</v>
      </c>
      <c r="C9" s="6">
        <f>C8*LOW_DE</f>
        <v>1030.552831892659</v>
      </c>
      <c r="D9" s="6">
        <f>D8*MID_DE</f>
        <v>14845.070958585991</v>
      </c>
      <c r="E9" s="6">
        <f>E8*HIGH_DE</f>
        <v>36293.629209134313</v>
      </c>
      <c r="F9" s="6">
        <f>F8*LOW_DE</f>
        <v>1030.552831892659</v>
      </c>
      <c r="G9" s="6">
        <f>G8*MID_DE</f>
        <v>14845.070958585991</v>
      </c>
      <c r="H9" s="6">
        <f>H8*HIGH_DE</f>
        <v>36293.629209134313</v>
      </c>
      <c r="I9" s="6">
        <f>I8*LOW_DE</f>
        <v>1030.552831892659</v>
      </c>
      <c r="J9" s="6">
        <f>J8*MID_DE</f>
        <v>14845.070958585991</v>
      </c>
      <c r="K9" s="8">
        <f>K8*HIGH_DE</f>
        <v>36293.629209134313</v>
      </c>
    </row>
    <row r="10" spans="1:11" s="3" customFormat="1">
      <c r="B10" s="7" t="s">
        <v>296</v>
      </c>
      <c r="C10" s="45">
        <v>0.05</v>
      </c>
      <c r="D10" s="45">
        <v>0.05</v>
      </c>
      <c r="E10" s="45">
        <v>0.05</v>
      </c>
      <c r="F10" s="45">
        <v>0.05</v>
      </c>
      <c r="G10" s="45">
        <v>0.05</v>
      </c>
      <c r="H10" s="45">
        <v>0.05</v>
      </c>
      <c r="I10" s="45">
        <v>0.05</v>
      </c>
      <c r="J10" s="45">
        <v>0.05</v>
      </c>
      <c r="K10" s="46">
        <v>0.05</v>
      </c>
    </row>
    <row r="11" spans="1:11" s="3" customFormat="1">
      <c r="B11" s="7" t="s">
        <v>293</v>
      </c>
      <c r="C11" s="6">
        <f>C8*LOW_OM</f>
        <v>1030.552831892659</v>
      </c>
      <c r="D11" s="6">
        <f>D8*MED_OM</f>
        <v>3298.9046574635536</v>
      </c>
      <c r="E11" s="6">
        <f>E8*HIGH_OM</f>
        <v>4536.7036511417891</v>
      </c>
      <c r="F11" s="6">
        <f>F8*LOW_OM</f>
        <v>1030.552831892659</v>
      </c>
      <c r="G11" s="6">
        <f>G8*MED_OM</f>
        <v>3298.9046574635536</v>
      </c>
      <c r="H11" s="6">
        <f>H8*HIGH_OM</f>
        <v>4536.7036511417891</v>
      </c>
      <c r="I11" s="6">
        <f>I8*LOW_OM</f>
        <v>1030.552831892659</v>
      </c>
      <c r="J11" s="6">
        <f>J8*MED_OM</f>
        <v>3298.9046574635536</v>
      </c>
      <c r="K11" s="8">
        <f>K8*HIGH_OM</f>
        <v>4536.7036511417891</v>
      </c>
    </row>
    <row r="12" spans="1:11" s="3" customFormat="1">
      <c r="B12" s="383"/>
      <c r="C12" s="384"/>
      <c r="D12" s="384"/>
      <c r="E12" s="384"/>
      <c r="F12" s="384"/>
      <c r="G12" s="384"/>
      <c r="H12" s="384"/>
      <c r="I12" s="384"/>
      <c r="J12" s="384"/>
      <c r="K12" s="385"/>
    </row>
    <row r="13" spans="1:11" s="3" customFormat="1">
      <c r="B13" s="4" t="s">
        <v>241</v>
      </c>
      <c r="C13" s="204" t="s">
        <v>207</v>
      </c>
      <c r="D13" s="204" t="s">
        <v>18</v>
      </c>
      <c r="E13" s="204" t="s">
        <v>208</v>
      </c>
      <c r="F13" s="35"/>
      <c r="G13" s="36"/>
      <c r="H13" s="36"/>
      <c r="I13" s="36"/>
      <c r="J13" s="36"/>
      <c r="K13" s="37"/>
    </row>
    <row r="14" spans="1:11" s="3" customFormat="1">
      <c r="A14" s="9" t="s">
        <v>57</v>
      </c>
      <c r="B14" s="7" t="s">
        <v>57</v>
      </c>
      <c r="C14" s="10">
        <f t="shared" ref="C14:E21" ca="1" si="2">(-PMT(Annual_rate,$C$3,I$8+I$9)+Project_Acres_Developable*INDIRECT(CONCATENATE("LAND_COST_",$A14))*Annual_rate*I$10+I$11)*INDIRECT(CONCATENATE($A14,"_IMPERVIOUS"))</f>
        <v>841.02049781581889</v>
      </c>
      <c r="D14" s="10">
        <f t="shared" ca="1" si="2"/>
        <v>2874.6388448369653</v>
      </c>
      <c r="E14" s="286">
        <f t="shared" ca="1" si="2"/>
        <v>4324.2978977886305</v>
      </c>
      <c r="F14" s="285" t="str">
        <f t="shared" ref="F14:H21" ca="1" si="3">IF((-PMT(Annual_rate,$C$3,C24)+Annual_rate*C34+C44)=C14,"","Check")</f>
        <v/>
      </c>
      <c r="G14" s="287" t="str">
        <f t="shared" ca="1" si="3"/>
        <v/>
      </c>
      <c r="H14" s="287" t="str">
        <f t="shared" ca="1" si="3"/>
        <v/>
      </c>
      <c r="I14" s="12"/>
      <c r="J14" s="12"/>
      <c r="K14" s="39"/>
    </row>
    <row r="15" spans="1:11" s="3" customFormat="1">
      <c r="A15" s="9" t="s">
        <v>266</v>
      </c>
      <c r="B15" s="147" t="s">
        <v>266</v>
      </c>
      <c r="C15" s="10">
        <f t="shared" ca="1" si="2"/>
        <v>1665.9779637169684</v>
      </c>
      <c r="D15" s="10">
        <f t="shared" ca="1" si="2"/>
        <v>5694.3736586453342</v>
      </c>
      <c r="E15" s="286">
        <f t="shared" ca="1" si="2"/>
        <v>8566.0040688344397</v>
      </c>
      <c r="F15" s="285" t="str">
        <f t="shared" ca="1" si="3"/>
        <v/>
      </c>
      <c r="G15" s="287" t="str">
        <f t="shared" ca="1" si="3"/>
        <v/>
      </c>
      <c r="H15" s="287" t="str">
        <f t="shared" ca="1" si="3"/>
        <v/>
      </c>
      <c r="I15" s="12"/>
      <c r="J15" s="12"/>
      <c r="K15" s="39"/>
    </row>
    <row r="16" spans="1:11" s="3" customFormat="1">
      <c r="A16" s="9" t="s">
        <v>267</v>
      </c>
      <c r="B16" s="147" t="s">
        <v>267</v>
      </c>
      <c r="C16" s="10">
        <f t="shared" ca="1" si="2"/>
        <v>790.22442337695725</v>
      </c>
      <c r="D16" s="10">
        <f t="shared" ca="1" si="2"/>
        <v>2701.0160031506975</v>
      </c>
      <c r="E16" s="286">
        <f t="shared" ca="1" si="2"/>
        <v>4063.1183445169236</v>
      </c>
      <c r="F16" s="285" t="str">
        <f t="shared" ca="1" si="3"/>
        <v/>
      </c>
      <c r="G16" s="287" t="str">
        <f t="shared" ca="1" si="3"/>
        <v/>
      </c>
      <c r="H16" s="287" t="str">
        <f t="shared" ca="1" si="3"/>
        <v/>
      </c>
      <c r="I16" s="12"/>
      <c r="J16" s="12"/>
      <c r="K16" s="39"/>
    </row>
    <row r="17" spans="1:11" s="3" customFormat="1">
      <c r="A17" s="9" t="s">
        <v>268</v>
      </c>
      <c r="B17" s="147" t="s">
        <v>268</v>
      </c>
      <c r="C17" s="10">
        <f t="shared" ca="1" si="2"/>
        <v>823.26523297330436</v>
      </c>
      <c r="D17" s="10">
        <f t="shared" ca="1" si="2"/>
        <v>2813.9506997213412</v>
      </c>
      <c r="E17" s="286">
        <f t="shared" ca="1" si="2"/>
        <v>4233.0051711160158</v>
      </c>
      <c r="F17" s="285" t="str">
        <f t="shared" ca="1" si="3"/>
        <v/>
      </c>
      <c r="G17" s="287" t="str">
        <f t="shared" ca="1" si="3"/>
        <v/>
      </c>
      <c r="H17" s="287" t="str">
        <f t="shared" ca="1" si="3"/>
        <v/>
      </c>
      <c r="I17" s="12"/>
      <c r="J17" s="12"/>
      <c r="K17" s="39"/>
    </row>
    <row r="18" spans="1:11" s="3" customFormat="1">
      <c r="A18" s="9" t="s">
        <v>269</v>
      </c>
      <c r="B18" s="147" t="s">
        <v>269</v>
      </c>
      <c r="C18" s="10">
        <f t="shared" ca="1" si="2"/>
        <v>877.66673477305653</v>
      </c>
      <c r="D18" s="10">
        <f t="shared" ca="1" si="2"/>
        <v>2999.8970240941435</v>
      </c>
      <c r="E18" s="286">
        <f t="shared" ca="1" si="2"/>
        <v>4512.7228480099402</v>
      </c>
      <c r="F18" s="285" t="str">
        <f t="shared" ca="1" si="3"/>
        <v/>
      </c>
      <c r="G18" s="287" t="str">
        <f t="shared" ca="1" si="3"/>
        <v/>
      </c>
      <c r="H18" s="287" t="str">
        <f t="shared" ca="1" si="3"/>
        <v/>
      </c>
      <c r="I18" s="12"/>
      <c r="J18" s="12"/>
      <c r="K18" s="39"/>
    </row>
    <row r="19" spans="1:11" s="3" customFormat="1">
      <c r="A19" s="9" t="s">
        <v>270</v>
      </c>
      <c r="B19" s="147" t="s">
        <v>270</v>
      </c>
      <c r="C19" s="10">
        <f t="shared" ca="1" si="2"/>
        <v>824.61229998378769</v>
      </c>
      <c r="D19" s="10">
        <f t="shared" ca="1" si="2"/>
        <v>2818.5550240689531</v>
      </c>
      <c r="E19" s="286">
        <f t="shared" ca="1" si="2"/>
        <v>4239.9314220893766</v>
      </c>
      <c r="F19" s="285" t="str">
        <f t="shared" ca="1" si="3"/>
        <v/>
      </c>
      <c r="G19" s="287" t="str">
        <f t="shared" ca="1" si="3"/>
        <v/>
      </c>
      <c r="H19" s="287" t="str">
        <f t="shared" ca="1" si="3"/>
        <v/>
      </c>
      <c r="I19" s="12"/>
      <c r="J19" s="12"/>
      <c r="K19" s="39"/>
    </row>
    <row r="20" spans="1:11" s="3" customFormat="1">
      <c r="A20" s="9" t="s">
        <v>271</v>
      </c>
      <c r="B20" s="147" t="s">
        <v>271</v>
      </c>
      <c r="C20" s="10">
        <f t="shared" ca="1" si="2"/>
        <v>850.17009772601932</v>
      </c>
      <c r="D20" s="10">
        <f t="shared" ca="1" si="2"/>
        <v>2905.9125122266259</v>
      </c>
      <c r="E20" s="286">
        <f t="shared" ca="1" si="2"/>
        <v>4371.3426437372027</v>
      </c>
      <c r="F20" s="285" t="str">
        <f t="shared" ca="1" si="3"/>
        <v/>
      </c>
      <c r="G20" s="287" t="str">
        <f t="shared" ca="1" si="3"/>
        <v/>
      </c>
      <c r="H20" s="287" t="str">
        <f t="shared" ca="1" si="3"/>
        <v/>
      </c>
      <c r="I20" s="12"/>
      <c r="J20" s="12"/>
      <c r="K20" s="39"/>
    </row>
    <row r="21" spans="1:11" s="3" customFormat="1">
      <c r="A21" s="9" t="s">
        <v>272</v>
      </c>
      <c r="B21" s="147" t="s">
        <v>272</v>
      </c>
      <c r="C21" s="10">
        <f t="shared" ca="1" si="2"/>
        <v>821.17842886431754</v>
      </c>
      <c r="D21" s="10">
        <f t="shared" ca="1" si="2"/>
        <v>2806.8179268949502</v>
      </c>
      <c r="E21" s="286">
        <f t="shared" ca="1" si="2"/>
        <v>4222.275393845398</v>
      </c>
      <c r="F21" s="288" t="str">
        <f t="shared" ca="1" si="3"/>
        <v/>
      </c>
      <c r="G21" s="289" t="str">
        <f t="shared" ca="1" si="3"/>
        <v/>
      </c>
      <c r="H21" s="289" t="str">
        <f t="shared" ca="1" si="3"/>
        <v/>
      </c>
      <c r="I21" s="41"/>
      <c r="J21" s="41"/>
      <c r="K21" s="42"/>
    </row>
    <row r="22" spans="1:11" s="3" customFormat="1">
      <c r="B22" s="383"/>
      <c r="C22" s="384"/>
      <c r="D22" s="384"/>
      <c r="E22" s="384"/>
      <c r="F22" s="421"/>
      <c r="G22" s="421"/>
      <c r="H22" s="421"/>
      <c r="I22" s="384"/>
      <c r="J22" s="384"/>
      <c r="K22" s="385"/>
    </row>
    <row r="23" spans="1:11" s="3" customFormat="1">
      <c r="B23" s="4" t="s">
        <v>288</v>
      </c>
      <c r="C23" s="204" t="s">
        <v>207</v>
      </c>
      <c r="D23" s="204" t="s">
        <v>18</v>
      </c>
      <c r="E23" s="204" t="s">
        <v>208</v>
      </c>
      <c r="F23" s="35"/>
      <c r="G23" s="36"/>
      <c r="H23" s="36"/>
      <c r="I23" s="36"/>
      <c r="J23" s="36"/>
      <c r="K23" s="37"/>
    </row>
    <row r="24" spans="1:11" s="3" customFormat="1">
      <c r="A24" s="9" t="s">
        <v>57</v>
      </c>
      <c r="B24" s="7" t="s">
        <v>57</v>
      </c>
      <c r="C24" s="10">
        <f ca="1">(I$8+I$9)*INDIRECT(CONCATENATE($A24,"_IMPERVIOUS"))</f>
        <v>5603.1333373027237</v>
      </c>
      <c r="D24" s="10">
        <f ca="1">(J$8+J$9)*INDIRECT(CONCATENATE($A24,"_IMPERVIOUS"))</f>
        <v>20925.567752810082</v>
      </c>
      <c r="E24" s="10">
        <f ca="1">(K$8+K$9)*INDIRECT(CONCATENATE($A24,"_IMPERVIOUS"))</f>
        <v>32888.180249806261</v>
      </c>
      <c r="F24" s="38"/>
      <c r="G24" s="12"/>
      <c r="H24" s="12"/>
      <c r="I24" s="12"/>
      <c r="J24" s="12"/>
      <c r="K24" s="39"/>
    </row>
    <row r="25" spans="1:11" s="3" customFormat="1">
      <c r="A25" s="9" t="s">
        <v>266</v>
      </c>
      <c r="B25" s="147" t="s">
        <v>266</v>
      </c>
      <c r="C25" s="10">
        <f t="shared" ref="C25:C31" ca="1" si="4">(I$8+I$9)*INDIRECT(CONCATENATE($A25,"_IMPERVIOUS"))</f>
        <v>11099.249889814844</v>
      </c>
      <c r="D25" s="10">
        <f t="shared" ref="D25:D31" ca="1" si="5">(J$8+J$9)*INDIRECT(CONCATENATE($A25,"_IMPERVIOUS"))</f>
        <v>41451.468596764891</v>
      </c>
      <c r="E25" s="10">
        <f t="shared" ref="E25:E31" ca="1" si="6">(K$8+K$9)*INDIRECT(CONCATENATE($A25,"_IMPERVIOUS"))</f>
        <v>65148.214229289712</v>
      </c>
      <c r="F25" s="38"/>
      <c r="G25" s="12"/>
      <c r="H25" s="12"/>
      <c r="I25" s="12"/>
      <c r="J25" s="12"/>
      <c r="K25" s="39"/>
    </row>
    <row r="26" spans="1:11" s="3" customFormat="1">
      <c r="A26" s="9" t="s">
        <v>267</v>
      </c>
      <c r="B26" s="147" t="s">
        <v>267</v>
      </c>
      <c r="C26" s="10">
        <f t="shared" ca="1" si="4"/>
        <v>5264.7145011011507</v>
      </c>
      <c r="D26" s="10">
        <f t="shared" ca="1" si="5"/>
        <v>19661.70236545306</v>
      </c>
      <c r="E26" s="10">
        <f t="shared" ca="1" si="6"/>
        <v>30901.795308575354</v>
      </c>
      <c r="F26" s="38"/>
      <c r="G26" s="12"/>
      <c r="H26" s="12"/>
      <c r="I26" s="12"/>
      <c r="J26" s="12"/>
      <c r="K26" s="39"/>
    </row>
    <row r="27" spans="1:11" s="3" customFormat="1">
      <c r="A27" s="9" t="s">
        <v>268</v>
      </c>
      <c r="B27" s="147" t="s">
        <v>268</v>
      </c>
      <c r="C27" s="10">
        <f t="shared" ca="1" si="4"/>
        <v>5484.8423840975383</v>
      </c>
      <c r="D27" s="10">
        <f t="shared" ca="1" si="5"/>
        <v>20483.796121326621</v>
      </c>
      <c r="E27" s="10">
        <f t="shared" ca="1" si="6"/>
        <v>32193.859062581701</v>
      </c>
      <c r="F27" s="38"/>
      <c r="G27" s="12"/>
      <c r="H27" s="12"/>
      <c r="I27" s="12"/>
      <c r="J27" s="12"/>
      <c r="K27" s="39"/>
    </row>
    <row r="28" spans="1:11" s="3" customFormat="1">
      <c r="A28" s="9" t="s">
        <v>269</v>
      </c>
      <c r="B28" s="147" t="s">
        <v>269</v>
      </c>
      <c r="C28" s="10">
        <f t="shared" ca="1" si="4"/>
        <v>5847.2816696145492</v>
      </c>
      <c r="D28" s="10">
        <f t="shared" ca="1" si="5"/>
        <v>21837.368733078394</v>
      </c>
      <c r="E28" s="10">
        <f t="shared" ca="1" si="6"/>
        <v>34321.234556635631</v>
      </c>
      <c r="F28" s="38"/>
      <c r="G28" s="12"/>
      <c r="H28" s="12"/>
      <c r="I28" s="12"/>
      <c r="J28" s="12"/>
      <c r="K28" s="39"/>
    </row>
    <row r="29" spans="1:11" s="3" customFormat="1">
      <c r="A29" s="9" t="s">
        <v>270</v>
      </c>
      <c r="B29" s="147" t="s">
        <v>270</v>
      </c>
      <c r="C29" s="10">
        <f t="shared" ca="1" si="4"/>
        <v>5493.8169526052288</v>
      </c>
      <c r="D29" s="10">
        <f t="shared" ca="1" si="5"/>
        <v>20517.312714642303</v>
      </c>
      <c r="E29" s="10">
        <f t="shared" ca="1" si="6"/>
        <v>32246.536236044656</v>
      </c>
      <c r="F29" s="38"/>
      <c r="G29" s="12"/>
      <c r="H29" s="12"/>
      <c r="I29" s="12"/>
      <c r="J29" s="12"/>
      <c r="K29" s="39"/>
    </row>
    <row r="30" spans="1:11" s="3" customFormat="1">
      <c r="A30" s="9" t="s">
        <v>271</v>
      </c>
      <c r="B30" s="147" t="s">
        <v>271</v>
      </c>
      <c r="C30" s="10">
        <f t="shared" ca="1" si="4"/>
        <v>5664.0907437071664</v>
      </c>
      <c r="D30" s="10">
        <f t="shared" ca="1" si="5"/>
        <v>21153.22043586506</v>
      </c>
      <c r="E30" s="10">
        <f t="shared" ca="1" si="6"/>
        <v>33245.976155901022</v>
      </c>
      <c r="F30" s="38"/>
      <c r="G30" s="12"/>
      <c r="H30" s="12"/>
      <c r="I30" s="12"/>
      <c r="J30" s="12"/>
      <c r="K30" s="39"/>
    </row>
    <row r="31" spans="1:11" s="3" customFormat="1">
      <c r="A31" s="9" t="s">
        <v>272</v>
      </c>
      <c r="B31" s="147" t="s">
        <v>272</v>
      </c>
      <c r="C31" s="10">
        <f t="shared" ca="1" si="4"/>
        <v>5470.9394629418111</v>
      </c>
      <c r="D31" s="10">
        <f t="shared" ca="1" si="5"/>
        <v>20431.874008984709</v>
      </c>
      <c r="E31" s="10">
        <f t="shared" ca="1" si="6"/>
        <v>32112.254405072599</v>
      </c>
      <c r="F31" s="40"/>
      <c r="G31" s="41"/>
      <c r="H31" s="41"/>
      <c r="I31" s="41"/>
      <c r="J31" s="41"/>
      <c r="K31" s="42"/>
    </row>
    <row r="32" spans="1:11" s="3" customFormat="1">
      <c r="B32" s="383"/>
      <c r="C32" s="384"/>
      <c r="D32" s="384"/>
      <c r="E32" s="384"/>
      <c r="F32" s="384"/>
      <c r="G32" s="384"/>
      <c r="H32" s="384"/>
      <c r="I32" s="384"/>
      <c r="J32" s="384"/>
      <c r="K32" s="385"/>
    </row>
    <row r="33" spans="1:11" s="3" customFormat="1">
      <c r="B33" s="4" t="s">
        <v>475</v>
      </c>
      <c r="C33" s="262" t="s">
        <v>207</v>
      </c>
      <c r="D33" s="262" t="s">
        <v>18</v>
      </c>
      <c r="E33" s="262" t="s">
        <v>208</v>
      </c>
      <c r="F33" s="35"/>
      <c r="G33" s="36"/>
      <c r="H33" s="36"/>
      <c r="I33" s="36"/>
      <c r="J33" s="36"/>
      <c r="K33" s="37"/>
    </row>
    <row r="34" spans="1:11" s="3" customFormat="1">
      <c r="A34" s="9" t="s">
        <v>57</v>
      </c>
      <c r="B34" s="7" t="s">
        <v>57</v>
      </c>
      <c r="C34" s="10">
        <f t="shared" ref="C34:E41" ca="1" si="7">(Project_Acres_Developable*INDIRECT(CONCATENATE("LAND_COST_",$A24))*I$10)*INDIRECT(CONCATENATE($A24,"_IMPERVIOUS"))</f>
        <v>647.26393676215423</v>
      </c>
      <c r="D34" s="10">
        <f t="shared" ca="1" si="7"/>
        <v>647.26393676215423</v>
      </c>
      <c r="E34" s="10">
        <f t="shared" ca="1" si="7"/>
        <v>647.26393676215423</v>
      </c>
      <c r="F34" s="38"/>
      <c r="G34" s="12"/>
      <c r="H34" s="12"/>
      <c r="I34" s="12"/>
      <c r="J34" s="12"/>
      <c r="K34" s="39"/>
    </row>
    <row r="35" spans="1:11" s="3" customFormat="1">
      <c r="A35" s="9" t="s">
        <v>266</v>
      </c>
      <c r="B35" s="147" t="s">
        <v>266</v>
      </c>
      <c r="C35" s="10">
        <f t="shared" ca="1" si="7"/>
        <v>1282.1654860433532</v>
      </c>
      <c r="D35" s="10">
        <f t="shared" ca="1" si="7"/>
        <v>1282.1654860433532</v>
      </c>
      <c r="E35" s="10">
        <f t="shared" ca="1" si="7"/>
        <v>1282.1654860433532</v>
      </c>
      <c r="F35" s="38"/>
      <c r="G35" s="12"/>
      <c r="H35" s="12"/>
      <c r="I35" s="12"/>
      <c r="J35" s="12"/>
      <c r="K35" s="39"/>
    </row>
    <row r="36" spans="1:11" s="3" customFormat="1">
      <c r="A36" s="9" t="s">
        <v>267</v>
      </c>
      <c r="B36" s="147" t="s">
        <v>267</v>
      </c>
      <c r="C36" s="10">
        <f t="shared" ca="1" si="7"/>
        <v>608.17039837783614</v>
      </c>
      <c r="D36" s="10">
        <f t="shared" ca="1" si="7"/>
        <v>608.17039837783614</v>
      </c>
      <c r="E36" s="10">
        <f t="shared" ca="1" si="7"/>
        <v>608.17039837783614</v>
      </c>
      <c r="F36" s="38"/>
      <c r="G36" s="12"/>
      <c r="H36" s="12"/>
      <c r="I36" s="12"/>
      <c r="J36" s="12"/>
      <c r="K36" s="39"/>
    </row>
    <row r="37" spans="1:11" s="3" customFormat="1">
      <c r="A37" s="9" t="s">
        <v>268</v>
      </c>
      <c r="B37" s="147" t="s">
        <v>268</v>
      </c>
      <c r="C37" s="10">
        <f t="shared" ca="1" si="7"/>
        <v>633.59917752017736</v>
      </c>
      <c r="D37" s="10">
        <f t="shared" ca="1" si="7"/>
        <v>633.59917752017736</v>
      </c>
      <c r="E37" s="10">
        <f t="shared" ca="1" si="7"/>
        <v>633.59917752017736</v>
      </c>
      <c r="F37" s="38"/>
      <c r="G37" s="12"/>
      <c r="H37" s="12"/>
      <c r="I37" s="12"/>
      <c r="J37" s="12"/>
      <c r="K37" s="39"/>
    </row>
    <row r="38" spans="1:11" s="3" customFormat="1">
      <c r="A38" s="9" t="s">
        <v>269</v>
      </c>
      <c r="B38" s="147" t="s">
        <v>269</v>
      </c>
      <c r="C38" s="10">
        <f t="shared" ca="1" si="7"/>
        <v>675.46751522672446</v>
      </c>
      <c r="D38" s="10">
        <f t="shared" ca="1" si="7"/>
        <v>675.46751522672446</v>
      </c>
      <c r="E38" s="10">
        <f t="shared" ca="1" si="7"/>
        <v>675.46751522672446</v>
      </c>
      <c r="F38" s="38"/>
      <c r="G38" s="12"/>
      <c r="H38" s="12"/>
      <c r="I38" s="12"/>
      <c r="J38" s="12"/>
      <c r="K38" s="39"/>
    </row>
    <row r="39" spans="1:11" s="3" customFormat="1">
      <c r="A39" s="9" t="s">
        <v>270</v>
      </c>
      <c r="B39" s="147" t="s">
        <v>270</v>
      </c>
      <c r="C39" s="10">
        <f t="shared" ca="1" si="7"/>
        <v>634.63590361490674</v>
      </c>
      <c r="D39" s="10">
        <f t="shared" ca="1" si="7"/>
        <v>634.63590361490674</v>
      </c>
      <c r="E39" s="10">
        <f t="shared" ca="1" si="7"/>
        <v>634.63590361490674</v>
      </c>
      <c r="F39" s="38"/>
      <c r="G39" s="12"/>
      <c r="H39" s="12"/>
      <c r="I39" s="12"/>
      <c r="J39" s="12"/>
      <c r="K39" s="39"/>
    </row>
    <row r="40" spans="1:11" s="3" customFormat="1">
      <c r="A40" s="9" t="s">
        <v>271</v>
      </c>
      <c r="B40" s="147" t="s">
        <v>271</v>
      </c>
      <c r="C40" s="10">
        <f t="shared" ca="1" si="7"/>
        <v>654.30562727154768</v>
      </c>
      <c r="D40" s="10">
        <f t="shared" ca="1" si="7"/>
        <v>654.30562727154768</v>
      </c>
      <c r="E40" s="10">
        <f t="shared" ca="1" si="7"/>
        <v>654.30562727154768</v>
      </c>
      <c r="F40" s="38"/>
      <c r="G40" s="12"/>
      <c r="H40" s="12"/>
      <c r="I40" s="12"/>
      <c r="J40" s="12"/>
      <c r="K40" s="39"/>
    </row>
    <row r="41" spans="1:11" s="3" customFormat="1">
      <c r="A41" s="9" t="s">
        <v>272</v>
      </c>
      <c r="B41" s="147" t="s">
        <v>272</v>
      </c>
      <c r="C41" s="10">
        <f t="shared" ca="1" si="7"/>
        <v>631.99313694644331</v>
      </c>
      <c r="D41" s="10">
        <f t="shared" ca="1" si="7"/>
        <v>631.99313694644331</v>
      </c>
      <c r="E41" s="10">
        <f t="shared" ca="1" si="7"/>
        <v>631.99313694644331</v>
      </c>
      <c r="F41" s="40"/>
      <c r="G41" s="41"/>
      <c r="H41" s="41"/>
      <c r="I41" s="41"/>
      <c r="J41" s="41"/>
      <c r="K41" s="42"/>
    </row>
    <row r="42" spans="1:11" s="3" customFormat="1">
      <c r="B42" s="383"/>
      <c r="C42" s="384"/>
      <c r="D42" s="384"/>
      <c r="E42" s="384"/>
      <c r="F42" s="384"/>
      <c r="G42" s="384"/>
      <c r="H42" s="384"/>
      <c r="I42" s="384"/>
      <c r="J42" s="384"/>
      <c r="K42" s="385"/>
    </row>
    <row r="43" spans="1:11" s="3" customFormat="1">
      <c r="B43" s="4" t="s">
        <v>476</v>
      </c>
      <c r="C43" s="204" t="s">
        <v>207</v>
      </c>
      <c r="D43" s="204" t="s">
        <v>18</v>
      </c>
      <c r="E43" s="204" t="s">
        <v>208</v>
      </c>
      <c r="F43" s="384"/>
      <c r="G43" s="384"/>
      <c r="H43" s="384"/>
      <c r="I43" s="384"/>
      <c r="J43" s="384"/>
      <c r="K43" s="385"/>
    </row>
    <row r="44" spans="1:11" s="3" customFormat="1">
      <c r="A44" s="9" t="s">
        <v>57</v>
      </c>
      <c r="B44" s="7" t="s">
        <v>57</v>
      </c>
      <c r="C44" s="10">
        <f ca="1">I$11*INDIRECT(CONCATENATE($A44,"_IMPERVIOUS"))</f>
        <v>266.8158732048916</v>
      </c>
      <c r="D44" s="10">
        <f t="shared" ref="D44:E44" ca="1" si="8">J$11*INDIRECT(CONCATENATE($A44,"_IMPERVIOUS"))</f>
        <v>854.10480623714625</v>
      </c>
      <c r="E44" s="10">
        <f t="shared" ca="1" si="8"/>
        <v>1174.5778660645094</v>
      </c>
      <c r="F44" s="384"/>
      <c r="G44" s="384"/>
      <c r="H44" s="384"/>
      <c r="I44" s="384"/>
      <c r="J44" s="384"/>
      <c r="K44" s="385"/>
    </row>
    <row r="45" spans="1:11" s="3" customFormat="1">
      <c r="A45" s="9" t="s">
        <v>266</v>
      </c>
      <c r="B45" s="9" t="s">
        <v>266</v>
      </c>
      <c r="C45" s="10">
        <f t="shared" ref="C45:C51" ca="1" si="9">I$11*INDIRECT(CONCATENATE($A45,"_IMPERVIOUS"))</f>
        <v>528.53570903880211</v>
      </c>
      <c r="D45" s="10">
        <f t="shared" ref="D45:D51" ca="1" si="10">J$11*INDIRECT(CONCATENATE($A45,"_IMPERVIOUS"))</f>
        <v>1691.8966774189755</v>
      </c>
      <c r="E45" s="10">
        <f t="shared" ref="E45:E51" ca="1" si="11">K$11*INDIRECT(CONCATENATE($A45,"_IMPERVIOUS"))</f>
        <v>2326.7219367603466</v>
      </c>
      <c r="F45" s="384"/>
      <c r="G45" s="384"/>
      <c r="H45" s="384"/>
      <c r="I45" s="384"/>
      <c r="J45" s="384"/>
      <c r="K45" s="385"/>
    </row>
    <row r="46" spans="1:11" s="3" customFormat="1">
      <c r="A46" s="9" t="s">
        <v>267</v>
      </c>
      <c r="B46" s="9" t="s">
        <v>267</v>
      </c>
      <c r="C46" s="10">
        <f t="shared" ca="1" si="9"/>
        <v>250.70069052862624</v>
      </c>
      <c r="D46" s="10">
        <f t="shared" ca="1" si="10"/>
        <v>802.51846389604327</v>
      </c>
      <c r="E46" s="10">
        <f t="shared" ca="1" si="11"/>
        <v>1103.6355467348342</v>
      </c>
      <c r="F46" s="384"/>
      <c r="G46" s="384"/>
      <c r="H46" s="384"/>
      <c r="I46" s="384"/>
      <c r="J46" s="384"/>
      <c r="K46" s="385"/>
    </row>
    <row r="47" spans="1:11" s="3" customFormat="1">
      <c r="A47" s="9" t="s">
        <v>268</v>
      </c>
      <c r="B47" s="9" t="s">
        <v>268</v>
      </c>
      <c r="C47" s="10">
        <f t="shared" ca="1" si="9"/>
        <v>261.18297067131135</v>
      </c>
      <c r="D47" s="10">
        <f t="shared" ca="1" si="10"/>
        <v>836.07331107455605</v>
      </c>
      <c r="E47" s="10">
        <f t="shared" ca="1" si="11"/>
        <v>1149.7806808064895</v>
      </c>
      <c r="F47" s="384"/>
      <c r="G47" s="384"/>
      <c r="H47" s="384"/>
      <c r="I47" s="384"/>
      <c r="J47" s="384"/>
      <c r="K47" s="385"/>
    </row>
    <row r="48" spans="1:11" s="3" customFormat="1">
      <c r="A48" s="9" t="s">
        <v>269</v>
      </c>
      <c r="B48" s="9" t="s">
        <v>269</v>
      </c>
      <c r="C48" s="10">
        <f t="shared" ca="1" si="9"/>
        <v>278.44198426735949</v>
      </c>
      <c r="D48" s="10">
        <f t="shared" ca="1" si="10"/>
        <v>891.32117277871009</v>
      </c>
      <c r="E48" s="10">
        <f t="shared" ca="1" si="11"/>
        <v>1225.7583770227013</v>
      </c>
      <c r="F48" s="384"/>
      <c r="G48" s="384"/>
      <c r="H48" s="384"/>
      <c r="I48" s="384"/>
      <c r="J48" s="384"/>
      <c r="K48" s="385"/>
    </row>
    <row r="49" spans="1:11" s="3" customFormat="1">
      <c r="A49" s="9" t="s">
        <v>270</v>
      </c>
      <c r="B49" s="9" t="s">
        <v>270</v>
      </c>
      <c r="C49" s="10">
        <f t="shared" ca="1" si="9"/>
        <v>261.61033107643948</v>
      </c>
      <c r="D49" s="10">
        <f t="shared" ca="1" si="10"/>
        <v>837.44133529152271</v>
      </c>
      <c r="E49" s="10">
        <f t="shared" ca="1" si="11"/>
        <v>1151.6620084301662</v>
      </c>
      <c r="F49" s="384"/>
      <c r="G49" s="384"/>
      <c r="H49" s="384"/>
      <c r="I49" s="384"/>
      <c r="J49" s="384"/>
      <c r="K49" s="385"/>
    </row>
    <row r="50" spans="1:11" s="3" customFormat="1">
      <c r="A50" s="9" t="s">
        <v>271</v>
      </c>
      <c r="B50" s="9" t="s">
        <v>271</v>
      </c>
      <c r="C50" s="10">
        <f t="shared" ca="1" si="9"/>
        <v>269.71860684319842</v>
      </c>
      <c r="D50" s="10">
        <f t="shared" ca="1" si="10"/>
        <v>863.39675248428819</v>
      </c>
      <c r="E50" s="10">
        <f t="shared" ca="1" si="11"/>
        <v>1187.3562912821794</v>
      </c>
      <c r="F50" s="384"/>
      <c r="G50" s="384"/>
      <c r="H50" s="384"/>
      <c r="I50" s="384"/>
      <c r="J50" s="384"/>
      <c r="K50" s="385"/>
    </row>
    <row r="51" spans="1:11" s="3" customFormat="1">
      <c r="A51" s="9" t="s">
        <v>272</v>
      </c>
      <c r="B51" s="9" t="s">
        <v>272</v>
      </c>
      <c r="C51" s="10">
        <f t="shared" ca="1" si="9"/>
        <v>260.52092680675293</v>
      </c>
      <c r="D51" s="10">
        <f t="shared" ca="1" si="10"/>
        <v>833.95404118304941</v>
      </c>
      <c r="E51" s="10">
        <f t="shared" ca="1" si="11"/>
        <v>1146.8662287525929</v>
      </c>
      <c r="F51" s="384"/>
      <c r="G51" s="384"/>
      <c r="H51" s="384"/>
      <c r="I51" s="384"/>
      <c r="J51" s="384"/>
      <c r="K51" s="385"/>
    </row>
    <row r="52" spans="1:11" s="3" customFormat="1">
      <c r="B52" s="387" t="s">
        <v>242</v>
      </c>
      <c r="C52" s="388"/>
      <c r="D52" s="388"/>
      <c r="E52" s="388"/>
      <c r="F52" s="388"/>
      <c r="G52" s="388"/>
      <c r="H52" s="388"/>
      <c r="I52" s="388"/>
      <c r="J52" s="388"/>
      <c r="K52" s="389"/>
    </row>
    <row r="53" spans="1:11" s="3" customFormat="1">
      <c r="B53" s="377" t="s">
        <v>336</v>
      </c>
      <c r="C53" s="378"/>
      <c r="D53" s="378"/>
      <c r="E53" s="378"/>
      <c r="F53" s="378"/>
      <c r="G53" s="378"/>
      <c r="H53" s="378"/>
      <c r="I53" s="378"/>
      <c r="J53" s="378"/>
      <c r="K53" s="379"/>
    </row>
    <row r="54" spans="1:11" s="3" customFormat="1" ht="15.75" thickBot="1">
      <c r="B54" s="380" t="s">
        <v>273</v>
      </c>
      <c r="C54" s="381"/>
      <c r="D54" s="381"/>
      <c r="E54" s="381"/>
      <c r="F54" s="381"/>
      <c r="G54" s="381"/>
      <c r="H54" s="381"/>
      <c r="I54" s="381"/>
      <c r="J54" s="381"/>
      <c r="K54" s="382"/>
    </row>
    <row r="55" spans="1:11" s="3" customFormat="1">
      <c r="B55" s="13"/>
      <c r="C55" s="13"/>
      <c r="D55" s="13"/>
      <c r="E55" s="13"/>
      <c r="F55" s="13"/>
      <c r="G55" s="13"/>
      <c r="H55" s="13"/>
      <c r="I55" s="13"/>
      <c r="J55" s="13"/>
      <c r="K55" s="13"/>
    </row>
  </sheetData>
  <mergeCells count="15">
    <mergeCell ref="B1:K1"/>
    <mergeCell ref="B54:K54"/>
    <mergeCell ref="B2:K2"/>
    <mergeCell ref="I5:K5"/>
    <mergeCell ref="B5:B6"/>
    <mergeCell ref="B12:K12"/>
    <mergeCell ref="D3:K4"/>
    <mergeCell ref="C5:E5"/>
    <mergeCell ref="F5:H5"/>
    <mergeCell ref="B52:K52"/>
    <mergeCell ref="B42:K42"/>
    <mergeCell ref="B53:K53"/>
    <mergeCell ref="B22:K22"/>
    <mergeCell ref="B32:K32"/>
    <mergeCell ref="F43:K51"/>
  </mergeCells>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Sheet9">
    <pageSetUpPr fitToPage="1"/>
  </sheetPr>
  <dimension ref="A1:O95"/>
  <sheetViews>
    <sheetView topLeftCell="B1" zoomScale="85" zoomScaleNormal="85" workbookViewId="0">
      <selection activeCell="C71" sqref="C71"/>
    </sheetView>
  </sheetViews>
  <sheetFormatPr defaultColWidth="9.140625" defaultRowHeight="15"/>
  <cols>
    <col min="1" max="1" width="7.7109375" style="141" hidden="1" customWidth="1"/>
    <col min="2" max="2" width="56.5703125" style="141" customWidth="1"/>
    <col min="3" max="4" width="10.140625" style="141" bestFit="1" customWidth="1"/>
    <col min="5" max="5" width="11.140625" style="141" bestFit="1" customWidth="1"/>
    <col min="6" max="6" width="8.42578125" style="141" bestFit="1" customWidth="1"/>
    <col min="7" max="7" width="7.85546875" style="141" bestFit="1" customWidth="1"/>
    <col min="8" max="8" width="9.28515625" style="142" bestFit="1" customWidth="1"/>
    <col min="9" max="11" width="9.28515625" style="141" bestFit="1" customWidth="1"/>
    <col min="12" max="12" width="9.140625" style="141"/>
    <col min="13" max="13" width="20.85546875" style="141" bestFit="1" customWidth="1"/>
    <col min="14" max="16384" width="9.140625" style="141"/>
  </cols>
  <sheetData>
    <row r="1" spans="1:11" ht="58.5" customHeight="1" thickBot="1">
      <c r="B1" s="425" t="s">
        <v>219</v>
      </c>
      <c r="C1" s="373"/>
      <c r="D1" s="373"/>
      <c r="E1" s="373"/>
      <c r="F1" s="373"/>
      <c r="G1" s="373"/>
      <c r="H1" s="373"/>
      <c r="I1" s="373"/>
      <c r="J1" s="373"/>
      <c r="K1" s="373"/>
    </row>
    <row r="2" spans="1:11" s="124" customFormat="1">
      <c r="B2" s="338" t="s">
        <v>316</v>
      </c>
      <c r="C2" s="336"/>
      <c r="D2" s="336"/>
      <c r="E2" s="336"/>
      <c r="F2" s="336"/>
      <c r="G2" s="336"/>
      <c r="H2" s="336"/>
      <c r="I2" s="336"/>
      <c r="J2" s="336"/>
      <c r="K2" s="337"/>
    </row>
    <row r="3" spans="1:11" s="124" customFormat="1">
      <c r="B3" s="4" t="s">
        <v>405</v>
      </c>
      <c r="C3" s="125">
        <v>20</v>
      </c>
      <c r="D3" s="433"/>
      <c r="E3" s="433"/>
      <c r="F3" s="433"/>
      <c r="G3" s="433"/>
      <c r="H3" s="433"/>
      <c r="I3" s="433"/>
      <c r="J3" s="433"/>
      <c r="K3" s="434"/>
    </row>
    <row r="4" spans="1:11" s="124" customFormat="1" hidden="1">
      <c r="B4" s="126" t="s">
        <v>254</v>
      </c>
      <c r="C4" s="127" t="s">
        <v>255</v>
      </c>
      <c r="D4" s="433"/>
      <c r="E4" s="433"/>
      <c r="F4" s="433"/>
      <c r="G4" s="433"/>
      <c r="H4" s="433"/>
      <c r="I4" s="433"/>
      <c r="J4" s="433"/>
      <c r="K4" s="434"/>
    </row>
    <row r="5" spans="1:11" s="124" customFormat="1">
      <c r="B5" s="435"/>
      <c r="C5" s="376" t="s">
        <v>175</v>
      </c>
      <c r="D5" s="376"/>
      <c r="E5" s="376"/>
      <c r="F5" s="376" t="s">
        <v>176</v>
      </c>
      <c r="G5" s="376"/>
      <c r="H5" s="376"/>
      <c r="I5" s="328" t="s">
        <v>335</v>
      </c>
      <c r="J5" s="328"/>
      <c r="K5" s="386"/>
    </row>
    <row r="6" spans="1:11" s="124" customFormat="1">
      <c r="B6" s="435"/>
      <c r="C6" s="128" t="s">
        <v>252</v>
      </c>
      <c r="D6" s="128" t="s">
        <v>18</v>
      </c>
      <c r="E6" s="128" t="s">
        <v>253</v>
      </c>
      <c r="F6" s="128" t="s">
        <v>252</v>
      </c>
      <c r="G6" s="128" t="s">
        <v>18</v>
      </c>
      <c r="H6" s="128" t="s">
        <v>253</v>
      </c>
      <c r="I6" s="128" t="s">
        <v>252</v>
      </c>
      <c r="J6" s="128" t="s">
        <v>18</v>
      </c>
      <c r="K6" s="129" t="s">
        <v>253</v>
      </c>
    </row>
    <row r="7" spans="1:11" s="124" customFormat="1">
      <c r="B7" s="126" t="s">
        <v>257</v>
      </c>
      <c r="C7" s="127">
        <v>3100</v>
      </c>
      <c r="D7" s="127">
        <v>8350</v>
      </c>
      <c r="E7" s="127">
        <v>28750</v>
      </c>
      <c r="F7" s="127">
        <v>9000</v>
      </c>
      <c r="G7" s="127">
        <v>19400</v>
      </c>
      <c r="H7" s="127">
        <v>32200</v>
      </c>
      <c r="I7" s="127">
        <f t="shared" ref="I7:K8" si="0">AVERAGE(C7,F7)</f>
        <v>6050</v>
      </c>
      <c r="J7" s="127">
        <f t="shared" si="0"/>
        <v>13875</v>
      </c>
      <c r="K7" s="130">
        <f t="shared" si="0"/>
        <v>30475</v>
      </c>
    </row>
    <row r="8" spans="1:11" s="124" customFormat="1">
      <c r="B8" s="126" t="s">
        <v>258</v>
      </c>
      <c r="C8" s="127">
        <f t="shared" ref="C8:H8" si="1">C7*CCI_2006</f>
        <v>3520.3457618371826</v>
      </c>
      <c r="D8" s="127">
        <f t="shared" si="1"/>
        <v>9482.2216488195081</v>
      </c>
      <c r="E8" s="127">
        <f t="shared" si="1"/>
        <v>32648.367952522258</v>
      </c>
      <c r="F8" s="127">
        <f t="shared" si="1"/>
        <v>10220.358663398272</v>
      </c>
      <c r="G8" s="127">
        <f t="shared" si="1"/>
        <v>22030.550896658497</v>
      </c>
      <c r="H8" s="127">
        <f t="shared" si="1"/>
        <v>36566.172106824932</v>
      </c>
      <c r="I8" s="127">
        <f t="shared" si="0"/>
        <v>6870.3522126177277</v>
      </c>
      <c r="J8" s="127">
        <f t="shared" si="0"/>
        <v>15756.386272739002</v>
      </c>
      <c r="K8" s="130">
        <f t="shared" si="0"/>
        <v>34607.270029673593</v>
      </c>
    </row>
    <row r="9" spans="1:11" s="124" customFormat="1">
      <c r="B9" s="126" t="s">
        <v>262</v>
      </c>
      <c r="C9" s="127">
        <f>C8*LOW_DE</f>
        <v>176.01728809185914</v>
      </c>
      <c r="D9" s="127">
        <f>D8*MID_DE</f>
        <v>2133.4998709843894</v>
      </c>
      <c r="E9" s="127">
        <f>E8*HIGH_DE</f>
        <v>13059.347181008903</v>
      </c>
      <c r="F9" s="127">
        <f>F8*LOW_DE</f>
        <v>511.01793316991365</v>
      </c>
      <c r="G9" s="127">
        <f>G8*MID_DE</f>
        <v>4956.8739517481627</v>
      </c>
      <c r="H9" s="127">
        <f>H8*HIGH_DE</f>
        <v>14626.468842729973</v>
      </c>
      <c r="I9" s="127">
        <f>I8*LOW_DE</f>
        <v>343.5176106308864</v>
      </c>
      <c r="J9" s="127">
        <f>J8*MID_DE</f>
        <v>3545.186911366276</v>
      </c>
      <c r="K9" s="130">
        <f>K8*HIGH_DE</f>
        <v>13842.908011869438</v>
      </c>
    </row>
    <row r="10" spans="1:11" s="124" customFormat="1">
      <c r="B10" s="126" t="s">
        <v>296</v>
      </c>
      <c r="C10" s="131">
        <v>0.04</v>
      </c>
      <c r="D10" s="131">
        <v>0.04</v>
      </c>
      <c r="E10" s="131">
        <v>0.04</v>
      </c>
      <c r="F10" s="131">
        <v>0.04</v>
      </c>
      <c r="G10" s="131">
        <v>0.04</v>
      </c>
      <c r="H10" s="131">
        <v>0.04</v>
      </c>
      <c r="I10" s="131">
        <v>0.04</v>
      </c>
      <c r="J10" s="131">
        <v>0.04</v>
      </c>
      <c r="K10" s="131">
        <v>0.04</v>
      </c>
    </row>
    <row r="11" spans="1:11" s="124" customFormat="1">
      <c r="B11" s="126" t="s">
        <v>292</v>
      </c>
      <c r="C11" s="127">
        <f>C8*LOW_OM</f>
        <v>176.01728809185914</v>
      </c>
      <c r="D11" s="127">
        <f>D8*MED_OM</f>
        <v>474.11108244097545</v>
      </c>
      <c r="E11" s="127">
        <f>E8*HIGH_OM</f>
        <v>1632.4183976261129</v>
      </c>
      <c r="F11" s="127">
        <f>F8*LOW_OM</f>
        <v>511.01793316991365</v>
      </c>
      <c r="G11" s="127">
        <f>G8*MED_OM</f>
        <v>1101.5275448329248</v>
      </c>
      <c r="H11" s="127">
        <f>H8*HIGH_OM</f>
        <v>1828.3086053412467</v>
      </c>
      <c r="I11" s="127">
        <f>I8*LOW_OM</f>
        <v>343.5176106308864</v>
      </c>
      <c r="J11" s="127">
        <f>J8*MED_OM</f>
        <v>787.81931363695014</v>
      </c>
      <c r="K11" s="130">
        <f>K8*HIGH_OM</f>
        <v>1730.3635014836798</v>
      </c>
    </row>
    <row r="12" spans="1:11" s="124" customFormat="1">
      <c r="B12" s="435"/>
      <c r="C12" s="429"/>
      <c r="D12" s="429"/>
      <c r="E12" s="429"/>
      <c r="F12" s="429"/>
      <c r="G12" s="429"/>
      <c r="H12" s="429"/>
      <c r="I12" s="429"/>
      <c r="J12" s="429"/>
      <c r="K12" s="430"/>
    </row>
    <row r="13" spans="1:11" s="124" customFormat="1">
      <c r="B13" s="4" t="s">
        <v>241</v>
      </c>
      <c r="C13" s="204" t="s">
        <v>207</v>
      </c>
      <c r="D13" s="204" t="s">
        <v>18</v>
      </c>
      <c r="E13" s="204" t="s">
        <v>208</v>
      </c>
      <c r="F13" s="429"/>
      <c r="G13" s="429"/>
      <c r="H13" s="429"/>
      <c r="I13" s="429"/>
      <c r="J13" s="429"/>
      <c r="K13" s="430"/>
    </row>
    <row r="14" spans="1:11" s="124" customFormat="1">
      <c r="A14" s="132" t="s">
        <v>57</v>
      </c>
      <c r="B14" s="126" t="s">
        <v>57</v>
      </c>
      <c r="C14" s="133">
        <f ca="1">(-PMT(Annual_rate,$C$3,I$8+I$9)+INDIRECT(CONCATENATE("LAND_COST_",$A14))*Project_Acres_Developable*Annual_rate*I$10+I$11)*INDIRECT(CONCATENATE($A14,"_IMPERVIOUS"))</f>
        <v>301.48412120617007</v>
      </c>
      <c r="D14" s="133">
        <f t="shared" ref="C14:E21" ca="1" si="2">(-PMT(Annual_rate,$C$3,J$8+J$9)+INDIRECT(CONCATENATE("LAND_COST_",$A14))*Project_Acres_Developable*Annual_rate*J$10+J$11)*INDIRECT(CONCATENATE($A14,"_IMPERVIOUS"))</f>
        <v>711.92593490846787</v>
      </c>
      <c r="E14" s="133">
        <f t="shared" ca="1" si="2"/>
        <v>1668.3143980057478</v>
      </c>
      <c r="F14" s="429"/>
      <c r="G14" s="429"/>
      <c r="H14" s="429"/>
      <c r="I14" s="429"/>
      <c r="J14" s="429"/>
      <c r="K14" s="430"/>
    </row>
    <row r="15" spans="1:11" s="124" customFormat="1">
      <c r="A15" s="132" t="s">
        <v>266</v>
      </c>
      <c r="B15" s="9" t="s">
        <v>266</v>
      </c>
      <c r="C15" s="133">
        <f ca="1">(-PMT(Annual_rate,$C$3,I$8+I$9)+INDIRECT(CONCATENATE("LAND_COST_",$A15))*Project_Acres_Developable*Annual_rate*I$10+I$11)*INDIRECT(CONCATENATE($A15,"_IMPERVIOUS"))</f>
        <v>597.2100604497391</v>
      </c>
      <c r="D15" s="133">
        <f t="shared" ca="1" si="2"/>
        <v>1410.2544735073159</v>
      </c>
      <c r="E15" s="133">
        <f t="shared" ca="1" si="2"/>
        <v>3304.7649026956183</v>
      </c>
      <c r="F15" s="429"/>
      <c r="G15" s="429"/>
      <c r="H15" s="429"/>
      <c r="I15" s="429"/>
      <c r="J15" s="429"/>
      <c r="K15" s="430"/>
    </row>
    <row r="16" spans="1:11" s="124" customFormat="1">
      <c r="A16" s="132" t="s">
        <v>267</v>
      </c>
      <c r="B16" s="9" t="s">
        <v>267</v>
      </c>
      <c r="C16" s="133">
        <f t="shared" ca="1" si="2"/>
        <v>283.2750408059951</v>
      </c>
      <c r="D16" s="133">
        <f t="shared" ca="1" si="2"/>
        <v>668.9269320559996</v>
      </c>
      <c r="E16" s="133">
        <f t="shared" ca="1" si="2"/>
        <v>1567.551310104074</v>
      </c>
      <c r="F16" s="429"/>
      <c r="G16" s="429"/>
      <c r="H16" s="429"/>
      <c r="I16" s="429"/>
      <c r="J16" s="429"/>
      <c r="K16" s="430"/>
    </row>
    <row r="17" spans="1:11" s="124" customFormat="1">
      <c r="A17" s="132" t="s">
        <v>268</v>
      </c>
      <c r="B17" s="9" t="s">
        <v>268</v>
      </c>
      <c r="C17" s="133">
        <f t="shared" ca="1" si="2"/>
        <v>295.11931745676065</v>
      </c>
      <c r="D17" s="133">
        <f t="shared" ca="1" si="2"/>
        <v>696.89605923316321</v>
      </c>
      <c r="E17" s="133">
        <f t="shared" ca="1" si="2"/>
        <v>1633.0936583756188</v>
      </c>
      <c r="F17" s="429"/>
      <c r="G17" s="429"/>
      <c r="H17" s="429"/>
      <c r="I17" s="429"/>
      <c r="J17" s="429"/>
      <c r="K17" s="430"/>
    </row>
    <row r="18" spans="1:11" s="124" customFormat="1">
      <c r="A18" s="132" t="s">
        <v>269</v>
      </c>
      <c r="B18" s="9" t="s">
        <v>269</v>
      </c>
      <c r="C18" s="133">
        <f t="shared" ca="1" si="2"/>
        <v>314.62085042175858</v>
      </c>
      <c r="D18" s="133">
        <f t="shared" ca="1" si="2"/>
        <v>742.94706527855328</v>
      </c>
      <c r="E18" s="133">
        <f t="shared" ca="1" si="2"/>
        <v>1741.0087555241048</v>
      </c>
      <c r="F18" s="429"/>
      <c r="G18" s="429"/>
      <c r="H18" s="429"/>
      <c r="I18" s="429"/>
      <c r="J18" s="429"/>
      <c r="K18" s="430"/>
    </row>
    <row r="19" spans="1:11" s="124" customFormat="1">
      <c r="A19" s="132" t="s">
        <v>270</v>
      </c>
      <c r="B19" s="9" t="s">
        <v>270</v>
      </c>
      <c r="C19" s="133">
        <f t="shared" ca="1" si="2"/>
        <v>295.60220617934959</v>
      </c>
      <c r="D19" s="133">
        <f t="shared" ca="1" si="2"/>
        <v>698.03635479470222</v>
      </c>
      <c r="E19" s="133">
        <f t="shared" ca="1" si="2"/>
        <v>1635.7658064320626</v>
      </c>
      <c r="F19" s="429"/>
      <c r="G19" s="429"/>
      <c r="H19" s="429"/>
      <c r="I19" s="429"/>
      <c r="J19" s="429"/>
      <c r="K19" s="430"/>
    </row>
    <row r="20" spans="1:11" s="124" customFormat="1">
      <c r="A20" s="132" t="s">
        <v>271</v>
      </c>
      <c r="B20" s="9" t="s">
        <v>271</v>
      </c>
      <c r="C20" s="133">
        <f t="shared" ca="1" si="2"/>
        <v>304.76401639954372</v>
      </c>
      <c r="D20" s="133">
        <f t="shared" ca="1" si="2"/>
        <v>719.671093899271</v>
      </c>
      <c r="E20" s="133">
        <f t="shared" ca="1" si="2"/>
        <v>1686.464263919625</v>
      </c>
      <c r="F20" s="429"/>
      <c r="G20" s="429"/>
      <c r="H20" s="429"/>
      <c r="I20" s="429"/>
      <c r="J20" s="429"/>
      <c r="K20" s="430"/>
    </row>
    <row r="21" spans="1:11" s="124" customFormat="1">
      <c r="A21" s="132" t="s">
        <v>272</v>
      </c>
      <c r="B21" s="9" t="s">
        <v>272</v>
      </c>
      <c r="C21" s="133">
        <f t="shared" ca="1" si="2"/>
        <v>294.37125209502307</v>
      </c>
      <c r="D21" s="133">
        <f t="shared" ca="1" si="2"/>
        <v>695.12957438514866</v>
      </c>
      <c r="E21" s="133">
        <f t="shared" ca="1" si="2"/>
        <v>1628.9541096370544</v>
      </c>
      <c r="F21" s="429"/>
      <c r="G21" s="429"/>
      <c r="H21" s="429"/>
      <c r="I21" s="429"/>
      <c r="J21" s="429"/>
      <c r="K21" s="430"/>
    </row>
    <row r="22" spans="1:11" s="124" customFormat="1">
      <c r="B22" s="426" t="s">
        <v>242</v>
      </c>
      <c r="C22" s="427"/>
      <c r="D22" s="427"/>
      <c r="E22" s="427"/>
      <c r="F22" s="427"/>
      <c r="G22" s="427"/>
      <c r="H22" s="427"/>
      <c r="I22" s="427"/>
      <c r="J22" s="427"/>
      <c r="K22" s="428"/>
    </row>
    <row r="23" spans="1:11" s="3" customFormat="1">
      <c r="B23" s="377" t="s">
        <v>336</v>
      </c>
      <c r="C23" s="378"/>
      <c r="D23" s="378"/>
      <c r="E23" s="378"/>
      <c r="F23" s="378"/>
      <c r="G23" s="378"/>
      <c r="H23" s="378"/>
      <c r="I23" s="378"/>
      <c r="J23" s="378"/>
      <c r="K23" s="379"/>
    </row>
    <row r="24" spans="1:11" s="124" customFormat="1" ht="15.75" thickBot="1">
      <c r="B24" s="437" t="s">
        <v>273</v>
      </c>
      <c r="C24" s="438"/>
      <c r="D24" s="438"/>
      <c r="E24" s="438"/>
      <c r="F24" s="438"/>
      <c r="G24" s="438"/>
      <c r="H24" s="438"/>
      <c r="I24" s="438"/>
      <c r="J24" s="438"/>
      <c r="K24" s="439"/>
    </row>
    <row r="25" spans="1:11" s="124" customFormat="1" ht="15.75" thickBot="1">
      <c r="C25" s="134"/>
      <c r="D25" s="134"/>
      <c r="E25" s="134"/>
      <c r="F25" s="134"/>
      <c r="G25" s="134"/>
      <c r="H25" s="134"/>
    </row>
    <row r="26" spans="1:11" s="124" customFormat="1">
      <c r="B26" s="338" t="s">
        <v>317</v>
      </c>
      <c r="C26" s="336"/>
      <c r="D26" s="336"/>
      <c r="E26" s="336"/>
      <c r="F26" s="336"/>
      <c r="G26" s="336"/>
      <c r="H26" s="336"/>
      <c r="I26" s="336"/>
      <c r="J26" s="336"/>
      <c r="K26" s="337"/>
    </row>
    <row r="27" spans="1:11" s="124" customFormat="1">
      <c r="B27" s="4" t="s">
        <v>405</v>
      </c>
      <c r="C27" s="125">
        <v>20</v>
      </c>
      <c r="D27" s="433"/>
      <c r="E27" s="433"/>
      <c r="F27" s="433"/>
      <c r="G27" s="433"/>
      <c r="H27" s="433"/>
      <c r="I27" s="433"/>
      <c r="J27" s="433"/>
      <c r="K27" s="434"/>
    </row>
    <row r="28" spans="1:11" s="124" customFormat="1" hidden="1">
      <c r="B28" s="126" t="s">
        <v>254</v>
      </c>
      <c r="C28" s="127" t="s">
        <v>255</v>
      </c>
      <c r="D28" s="433"/>
      <c r="E28" s="433"/>
      <c r="F28" s="433"/>
      <c r="G28" s="433"/>
      <c r="H28" s="433"/>
      <c r="I28" s="433"/>
      <c r="J28" s="433"/>
      <c r="K28" s="434"/>
    </row>
    <row r="29" spans="1:11" s="124" customFormat="1">
      <c r="B29" s="435"/>
      <c r="C29" s="376" t="s">
        <v>175</v>
      </c>
      <c r="D29" s="376"/>
      <c r="E29" s="376"/>
      <c r="F29" s="376" t="s">
        <v>176</v>
      </c>
      <c r="G29" s="376"/>
      <c r="H29" s="376"/>
      <c r="I29" s="328" t="s">
        <v>335</v>
      </c>
      <c r="J29" s="328"/>
      <c r="K29" s="386"/>
    </row>
    <row r="30" spans="1:11" s="124" customFormat="1">
      <c r="B30" s="435"/>
      <c r="C30" s="128" t="s">
        <v>252</v>
      </c>
      <c r="D30" s="128" t="s">
        <v>18</v>
      </c>
      <c r="E30" s="128" t="s">
        <v>253</v>
      </c>
      <c r="F30" s="128" t="s">
        <v>252</v>
      </c>
      <c r="G30" s="128" t="s">
        <v>18</v>
      </c>
      <c r="H30" s="128" t="s">
        <v>253</v>
      </c>
      <c r="I30" s="128" t="s">
        <v>252</v>
      </c>
      <c r="J30" s="128" t="s">
        <v>18</v>
      </c>
      <c r="K30" s="129" t="s">
        <v>253</v>
      </c>
    </row>
    <row r="31" spans="1:11" s="124" customFormat="1">
      <c r="B31" s="126" t="s">
        <v>257</v>
      </c>
      <c r="C31" s="127">
        <v>2000</v>
      </c>
      <c r="D31" s="127">
        <v>2900</v>
      </c>
      <c r="E31" s="127">
        <v>9600</v>
      </c>
      <c r="F31" s="127">
        <v>9000</v>
      </c>
      <c r="G31" s="127">
        <v>19400</v>
      </c>
      <c r="H31" s="127">
        <v>32200</v>
      </c>
      <c r="I31" s="127">
        <f t="shared" ref="I31:K32" si="3">AVERAGE(C31,F31)</f>
        <v>5500</v>
      </c>
      <c r="J31" s="127">
        <f t="shared" si="3"/>
        <v>11150</v>
      </c>
      <c r="K31" s="130">
        <f t="shared" si="3"/>
        <v>20900</v>
      </c>
    </row>
    <row r="32" spans="1:11" s="124" customFormat="1">
      <c r="B32" s="126" t="s">
        <v>258</v>
      </c>
      <c r="C32" s="127">
        <f t="shared" ref="C32:H32" si="4">C31*CCI_2006</f>
        <v>2271.1908140885048</v>
      </c>
      <c r="D32" s="127">
        <f t="shared" si="4"/>
        <v>3293.2266804283322</v>
      </c>
      <c r="E32" s="127">
        <f t="shared" si="4"/>
        <v>10901.715907624823</v>
      </c>
      <c r="F32" s="127">
        <f t="shared" si="4"/>
        <v>10220.358663398272</v>
      </c>
      <c r="G32" s="127">
        <f t="shared" si="4"/>
        <v>22030.550896658497</v>
      </c>
      <c r="H32" s="127">
        <f t="shared" si="4"/>
        <v>36566.172106824932</v>
      </c>
      <c r="I32" s="127">
        <f t="shared" si="3"/>
        <v>6245.7747387433883</v>
      </c>
      <c r="J32" s="127">
        <f t="shared" si="3"/>
        <v>12661.888788543414</v>
      </c>
      <c r="K32" s="130">
        <f t="shared" si="3"/>
        <v>23733.944007224876</v>
      </c>
    </row>
    <row r="33" spans="1:15" s="124" customFormat="1">
      <c r="B33" s="126" t="s">
        <v>262</v>
      </c>
      <c r="C33" s="127">
        <f>C32*LOW_DE</f>
        <v>113.55954070442525</v>
      </c>
      <c r="D33" s="127">
        <f>D32*MID_DE</f>
        <v>740.97600309637482</v>
      </c>
      <c r="E33" s="127">
        <f>E32*HIGH_DE</f>
        <v>4360.6863630499292</v>
      </c>
      <c r="F33" s="127">
        <f>F32*LOW_DE</f>
        <v>511.01793316991365</v>
      </c>
      <c r="G33" s="127">
        <f>G32*MID_DE</f>
        <v>4956.8739517481627</v>
      </c>
      <c r="H33" s="127">
        <f>H32*HIGH_DE</f>
        <v>14626.468842729973</v>
      </c>
      <c r="I33" s="127">
        <f>I32*LOW_DE</f>
        <v>312.28873693716946</v>
      </c>
      <c r="J33" s="127">
        <f>J32*MID_DE</f>
        <v>2848.9249774222685</v>
      </c>
      <c r="K33" s="130">
        <f>K32*HIGH_DE</f>
        <v>9493.5776028899509</v>
      </c>
    </row>
    <row r="34" spans="1:15" s="124" customFormat="1">
      <c r="B34" s="126" t="s">
        <v>296</v>
      </c>
      <c r="C34" s="131">
        <v>0.04</v>
      </c>
      <c r="D34" s="131">
        <v>0.04</v>
      </c>
      <c r="E34" s="131">
        <v>0.04</v>
      </c>
      <c r="F34" s="131">
        <v>0.04</v>
      </c>
      <c r="G34" s="131">
        <v>0.04</v>
      </c>
      <c r="H34" s="131">
        <v>0.04</v>
      </c>
      <c r="I34" s="131">
        <v>0.04</v>
      </c>
      <c r="J34" s="131">
        <v>0.04</v>
      </c>
      <c r="K34" s="131">
        <v>0.04</v>
      </c>
    </row>
    <row r="35" spans="1:15" s="124" customFormat="1">
      <c r="B35" s="126" t="s">
        <v>293</v>
      </c>
      <c r="C35" s="127">
        <f>C32*LOW_OM</f>
        <v>113.55954070442525</v>
      </c>
      <c r="D35" s="127">
        <f>D32*MED_OM</f>
        <v>164.66133402141662</v>
      </c>
      <c r="E35" s="127">
        <f>E32*HIGH_OM</f>
        <v>545.08579538124116</v>
      </c>
      <c r="F35" s="127">
        <f>F32*LOW_OM</f>
        <v>511.01793316991365</v>
      </c>
      <c r="G35" s="127">
        <f>G32*MED_OM</f>
        <v>1101.5275448329248</v>
      </c>
      <c r="H35" s="127">
        <f>H32*HIGH_OM</f>
        <v>1828.3086053412467</v>
      </c>
      <c r="I35" s="127">
        <f>I32*LOW_OM</f>
        <v>312.28873693716946</v>
      </c>
      <c r="J35" s="127">
        <f>J32*MED_OM</f>
        <v>633.09443942717076</v>
      </c>
      <c r="K35" s="130">
        <f>K32*HIGH_OM</f>
        <v>1186.6972003612439</v>
      </c>
    </row>
    <row r="36" spans="1:15" s="124" customFormat="1">
      <c r="B36" s="435"/>
      <c r="C36" s="429"/>
      <c r="D36" s="429"/>
      <c r="E36" s="429"/>
      <c r="F36" s="429"/>
      <c r="G36" s="429"/>
      <c r="H36" s="429"/>
      <c r="I36" s="429"/>
      <c r="J36" s="429"/>
      <c r="K36" s="430"/>
    </row>
    <row r="37" spans="1:15" s="124" customFormat="1">
      <c r="B37" s="4" t="s">
        <v>241</v>
      </c>
      <c r="C37" s="204" t="s">
        <v>207</v>
      </c>
      <c r="D37" s="204" t="s">
        <v>18</v>
      </c>
      <c r="E37" s="204" t="s">
        <v>208</v>
      </c>
      <c r="F37" s="429"/>
      <c r="G37" s="429"/>
      <c r="H37" s="429"/>
      <c r="I37" s="429"/>
      <c r="J37" s="429"/>
      <c r="K37" s="430"/>
    </row>
    <row r="38" spans="1:15" s="124" customFormat="1">
      <c r="A38" s="132" t="s">
        <v>57</v>
      </c>
      <c r="B38" s="126" t="s">
        <v>57</v>
      </c>
      <c r="C38" s="133">
        <f ca="1">(-PMT(Annual_rate,$C$27,I$32+I$33)+INDIRECT(CONCATENATE("LAND_COST_",$A38))*Project_Acres_Developable*Annual_rate*I$34+I$35)*INDIRECT(CONCATENATE($A38,"_IMPERVIOUS"))</f>
        <v>277.371635683671</v>
      </c>
      <c r="D38" s="133">
        <f t="shared" ref="C38:E45" ca="1" si="5">(-PMT(Annual_rate,$C$27,J$32+J$33)+INDIRECT(CONCATENATE("LAND_COST_",$A38))*Project_Acres_Developable*Annual_rate*J$34+J$35)*INDIRECT(CONCATENATE($A38,"_IMPERVIOUS"))</f>
        <v>579.22498385436563</v>
      </c>
      <c r="E38" s="133">
        <f t="shared" ca="1" si="5"/>
        <v>1155.5318733785723</v>
      </c>
      <c r="F38" s="429"/>
      <c r="G38" s="429"/>
      <c r="H38" s="429"/>
      <c r="I38" s="429"/>
      <c r="J38" s="429"/>
      <c r="K38" s="430"/>
      <c r="M38" s="296"/>
      <c r="O38" s="296"/>
    </row>
    <row r="39" spans="1:15" s="124" customFormat="1">
      <c r="A39" s="132" t="s">
        <v>266</v>
      </c>
      <c r="B39" s="9" t="s">
        <v>266</v>
      </c>
      <c r="C39" s="133">
        <f ca="1">(-PMT(Annual_rate,$C$27,I$32+I$33)+INDIRECT(CONCATENATE("LAND_COST_",$A39))*Project_Acres_Developable*Annual_rate*I$34+I$35)*INDIRECT(CONCATENATE($A39,"_IMPERVIOUS"))</f>
        <v>549.44562470143796</v>
      </c>
      <c r="D39" s="133">
        <f t="shared" ca="1" si="5"/>
        <v>1147.3870870469759</v>
      </c>
      <c r="E39" s="133">
        <f t="shared" ca="1" si="5"/>
        <v>2288.9937194406848</v>
      </c>
      <c r="F39" s="429"/>
      <c r="G39" s="429"/>
      <c r="H39" s="429"/>
      <c r="I39" s="429"/>
      <c r="J39" s="429"/>
      <c r="K39" s="430"/>
      <c r="M39" s="296"/>
    </row>
    <row r="40" spans="1:15" s="124" customFormat="1">
      <c r="A40" s="132" t="s">
        <v>267</v>
      </c>
      <c r="B40" s="9" t="s">
        <v>267</v>
      </c>
      <c r="C40" s="133">
        <f t="shared" ca="1" si="5"/>
        <v>260.61890457900995</v>
      </c>
      <c r="D40" s="133">
        <f t="shared" ca="1" si="5"/>
        <v>544.24087172734085</v>
      </c>
      <c r="E40" s="133">
        <f t="shared" ca="1" si="5"/>
        <v>1085.7398965967297</v>
      </c>
      <c r="F40" s="429"/>
      <c r="G40" s="429"/>
      <c r="H40" s="429"/>
      <c r="I40" s="429"/>
      <c r="J40" s="429"/>
      <c r="K40" s="430"/>
    </row>
    <row r="41" spans="1:15" s="124" customFormat="1">
      <c r="A41" s="132" t="s">
        <v>268</v>
      </c>
      <c r="B41" s="9" t="s">
        <v>268</v>
      </c>
      <c r="C41" s="133">
        <f t="shared" ca="1" si="5"/>
        <v>271.51588440988508</v>
      </c>
      <c r="D41" s="133">
        <f t="shared" ca="1" si="5"/>
        <v>566.99663386950272</v>
      </c>
      <c r="E41" s="133">
        <f t="shared" ca="1" si="5"/>
        <v>1131.1367789675717</v>
      </c>
      <c r="F41" s="429"/>
      <c r="G41" s="429"/>
      <c r="H41" s="429"/>
      <c r="I41" s="429"/>
      <c r="J41" s="429"/>
      <c r="K41" s="430"/>
    </row>
    <row r="42" spans="1:15" s="124" customFormat="1">
      <c r="A42" s="132" t="s">
        <v>269</v>
      </c>
      <c r="B42" s="9" t="s">
        <v>269</v>
      </c>
      <c r="C42" s="133">
        <f t="shared" ca="1" si="5"/>
        <v>289.45769864275292</v>
      </c>
      <c r="D42" s="133">
        <f t="shared" ca="1" si="5"/>
        <v>604.46386455347522</v>
      </c>
      <c r="E42" s="133">
        <f t="shared" ca="1" si="5"/>
        <v>1205.8824830883793</v>
      </c>
      <c r="F42" s="429"/>
      <c r="G42" s="429"/>
      <c r="H42" s="429"/>
      <c r="I42" s="429"/>
      <c r="J42" s="429"/>
      <c r="K42" s="430"/>
    </row>
    <row r="43" spans="1:15" s="124" customFormat="1">
      <c r="A43" s="132" t="s">
        <v>270</v>
      </c>
      <c r="B43" s="9" t="s">
        <v>270</v>
      </c>
      <c r="C43" s="133">
        <f t="shared" ca="1" si="5"/>
        <v>271.96015203599364</v>
      </c>
      <c r="D43" s="133">
        <f t="shared" ca="1" si="5"/>
        <v>567.92438161099574</v>
      </c>
      <c r="E43" s="133">
        <f t="shared" ca="1" si="5"/>
        <v>1132.987600523328</v>
      </c>
      <c r="F43" s="429"/>
      <c r="G43" s="429"/>
      <c r="H43" s="429"/>
      <c r="I43" s="429"/>
      <c r="J43" s="429"/>
      <c r="K43" s="430"/>
    </row>
    <row r="44" spans="1:15" s="124" customFormat="1">
      <c r="A44" s="132" t="s">
        <v>271</v>
      </c>
      <c r="B44" s="9" t="s">
        <v>271</v>
      </c>
      <c r="C44" s="133">
        <f t="shared" ca="1" si="5"/>
        <v>280.3892071929676</v>
      </c>
      <c r="D44" s="133">
        <f t="shared" ca="1" si="5"/>
        <v>585.5264674377305</v>
      </c>
      <c r="E44" s="133">
        <f t="shared" ca="1" si="5"/>
        <v>1168.1030941185616</v>
      </c>
      <c r="F44" s="429"/>
      <c r="G44" s="429"/>
      <c r="H44" s="429"/>
      <c r="I44" s="429"/>
      <c r="J44" s="429"/>
      <c r="K44" s="430"/>
    </row>
    <row r="45" spans="1:15" s="124" customFormat="1">
      <c r="A45" s="132" t="s">
        <v>272</v>
      </c>
      <c r="B45" s="9" t="s">
        <v>272</v>
      </c>
      <c r="C45" s="133">
        <f t="shared" ca="1" si="5"/>
        <v>270.82764878356647</v>
      </c>
      <c r="D45" s="133">
        <f t="shared" ca="1" si="5"/>
        <v>565.55941672738277</v>
      </c>
      <c r="E45" s="133">
        <f t="shared" ca="1" si="5"/>
        <v>1128.269585281218</v>
      </c>
      <c r="F45" s="429"/>
      <c r="G45" s="429"/>
      <c r="H45" s="429"/>
      <c r="I45" s="429"/>
      <c r="J45" s="429"/>
      <c r="K45" s="430"/>
    </row>
    <row r="46" spans="1:15" s="124" customFormat="1">
      <c r="B46" s="426" t="s">
        <v>242</v>
      </c>
      <c r="C46" s="427"/>
      <c r="D46" s="427"/>
      <c r="E46" s="427"/>
      <c r="F46" s="427"/>
      <c r="G46" s="427"/>
      <c r="H46" s="427"/>
      <c r="I46" s="427"/>
      <c r="J46" s="427"/>
      <c r="K46" s="428"/>
    </row>
    <row r="47" spans="1:15" s="3" customFormat="1">
      <c r="B47" s="377" t="s">
        <v>336</v>
      </c>
      <c r="C47" s="378"/>
      <c r="D47" s="378"/>
      <c r="E47" s="378"/>
      <c r="F47" s="378"/>
      <c r="G47" s="378"/>
      <c r="H47" s="378"/>
      <c r="I47" s="378"/>
      <c r="J47" s="378"/>
      <c r="K47" s="379"/>
    </row>
    <row r="48" spans="1:15" s="124" customFormat="1" ht="15.75" thickBot="1">
      <c r="B48" s="437" t="s">
        <v>273</v>
      </c>
      <c r="C48" s="438"/>
      <c r="D48" s="438"/>
      <c r="E48" s="438"/>
      <c r="F48" s="438"/>
      <c r="G48" s="438"/>
      <c r="H48" s="438"/>
      <c r="I48" s="438"/>
      <c r="J48" s="438"/>
      <c r="K48" s="439"/>
    </row>
    <row r="49" spans="1:14" s="135" customFormat="1" ht="15.75" thickBot="1">
      <c r="C49" s="136"/>
      <c r="D49" s="136"/>
      <c r="E49" s="136"/>
      <c r="F49" s="136"/>
      <c r="G49" s="136"/>
      <c r="H49" s="136"/>
      <c r="I49" s="136"/>
      <c r="J49" s="136"/>
      <c r="K49" s="136"/>
    </row>
    <row r="50" spans="1:14" s="124" customFormat="1">
      <c r="B50" s="440" t="s">
        <v>318</v>
      </c>
      <c r="C50" s="441"/>
      <c r="D50" s="441"/>
      <c r="E50" s="441"/>
      <c r="F50" s="441"/>
      <c r="G50" s="441"/>
      <c r="H50" s="441"/>
      <c r="I50" s="441"/>
      <c r="J50" s="441"/>
      <c r="K50" s="442"/>
    </row>
    <row r="51" spans="1:14" s="124" customFormat="1">
      <c r="B51" s="4" t="s">
        <v>241</v>
      </c>
      <c r="C51" s="204" t="s">
        <v>207</v>
      </c>
      <c r="D51" s="204" t="s">
        <v>18</v>
      </c>
      <c r="E51" s="204" t="s">
        <v>208</v>
      </c>
      <c r="F51" s="290"/>
      <c r="G51" s="291"/>
      <c r="H51" s="291"/>
      <c r="I51" s="291"/>
      <c r="J51" s="291"/>
      <c r="K51" s="292"/>
      <c r="L51" s="137"/>
      <c r="M51" s="137"/>
      <c r="N51" s="137"/>
    </row>
    <row r="52" spans="1:14" s="124" customFormat="1">
      <c r="A52" s="135"/>
      <c r="B52" s="126" t="s">
        <v>57</v>
      </c>
      <c r="C52" s="133">
        <f ca="1">AVERAGE(C14,C38)</f>
        <v>289.42787844492057</v>
      </c>
      <c r="D52" s="133">
        <f t="shared" ref="C52:E59" ca="1" si="6">AVERAGE(D14,D38)</f>
        <v>645.57545938141675</v>
      </c>
      <c r="E52" s="133">
        <f t="shared" ca="1" si="6"/>
        <v>1411.92313569216</v>
      </c>
      <c r="F52" s="287" t="str">
        <f ca="1">IF((-PMT(Annual_rate,$C$27,C62)+Annual_rate*C72+C82)=C52,"","Check")</f>
        <v/>
      </c>
      <c r="G52" s="287" t="str">
        <f ca="1">IF((-PMT(Annual_rate,$C$27,D62)+Annual_rate*D72+D82)=D52,"","Check")</f>
        <v/>
      </c>
      <c r="H52" s="287" t="str">
        <f ca="1">IF((-PMT(Annual_rate,$C$27,E62)+Annual_rate*E72+E82)=E52,"","Check")</f>
        <v/>
      </c>
      <c r="I52" s="135"/>
      <c r="J52" s="135"/>
      <c r="K52" s="293"/>
      <c r="L52" s="137"/>
      <c r="M52" s="298"/>
      <c r="N52" s="137"/>
    </row>
    <row r="53" spans="1:14" s="124" customFormat="1">
      <c r="A53" s="135"/>
      <c r="B53" s="9" t="s">
        <v>266</v>
      </c>
      <c r="C53" s="133">
        <f ca="1">AVERAGE(C15,C39)</f>
        <v>573.32784257558853</v>
      </c>
      <c r="D53" s="133">
        <f t="shared" ca="1" si="6"/>
        <v>1278.8207802771458</v>
      </c>
      <c r="E53" s="133">
        <f t="shared" ca="1" si="6"/>
        <v>2796.8793110681518</v>
      </c>
      <c r="F53" s="287"/>
      <c r="G53" s="287" t="str">
        <f t="shared" ref="G53:H59" ca="1" si="7">IF((-PMT(Annual_rate,$C$27,D63)+Annual_rate*D73+D83)=D53,"","Check")</f>
        <v/>
      </c>
      <c r="H53" s="287" t="str">
        <f t="shared" ca="1" si="7"/>
        <v/>
      </c>
      <c r="I53" s="135"/>
      <c r="J53" s="135"/>
      <c r="K53" s="293"/>
      <c r="L53" s="137"/>
      <c r="M53" s="298"/>
      <c r="N53" s="137"/>
    </row>
    <row r="54" spans="1:14" s="124" customFormat="1">
      <c r="A54" s="135"/>
      <c r="B54" s="9" t="s">
        <v>267</v>
      </c>
      <c r="C54" s="133">
        <f t="shared" ca="1" si="6"/>
        <v>271.94697269250253</v>
      </c>
      <c r="D54" s="133">
        <f t="shared" ca="1" si="6"/>
        <v>606.58390189167017</v>
      </c>
      <c r="E54" s="133">
        <f t="shared" ca="1" si="6"/>
        <v>1326.6456033504019</v>
      </c>
      <c r="F54" s="287" t="str">
        <f t="shared" ref="F54:F59" ca="1" si="8">IF((-PMT(Annual_rate,$C$27,C64)+Annual_rate*C74+C84)=C54,"","Check")</f>
        <v/>
      </c>
      <c r="G54" s="287" t="str">
        <f t="shared" ca="1" si="7"/>
        <v/>
      </c>
      <c r="H54" s="287" t="str">
        <f t="shared" ca="1" si="7"/>
        <v/>
      </c>
      <c r="I54" s="135"/>
      <c r="J54" s="135"/>
      <c r="K54" s="293"/>
      <c r="L54" s="137"/>
      <c r="M54" s="137"/>
      <c r="N54" s="137"/>
    </row>
    <row r="55" spans="1:14" s="124" customFormat="1">
      <c r="A55" s="135"/>
      <c r="B55" s="9" t="s">
        <v>268</v>
      </c>
      <c r="C55" s="133">
        <f t="shared" ca="1" si="6"/>
        <v>283.31760093332286</v>
      </c>
      <c r="D55" s="133">
        <f t="shared" ca="1" si="6"/>
        <v>631.94634655133291</v>
      </c>
      <c r="E55" s="133">
        <f t="shared" ca="1" si="6"/>
        <v>1382.1152186715954</v>
      </c>
      <c r="F55" s="287" t="str">
        <f t="shared" ca="1" si="8"/>
        <v/>
      </c>
      <c r="G55" s="287" t="str">
        <f t="shared" ca="1" si="7"/>
        <v/>
      </c>
      <c r="H55" s="287" t="str">
        <f t="shared" ca="1" si="7"/>
        <v/>
      </c>
      <c r="I55" s="135"/>
      <c r="J55" s="135"/>
      <c r="K55" s="293"/>
      <c r="L55" s="137"/>
      <c r="M55" s="137"/>
      <c r="N55" s="137"/>
    </row>
    <row r="56" spans="1:14" s="124" customFormat="1">
      <c r="A56" s="135"/>
      <c r="B56" s="9" t="s">
        <v>269</v>
      </c>
      <c r="C56" s="133">
        <f t="shared" ca="1" si="6"/>
        <v>302.03927453225572</v>
      </c>
      <c r="D56" s="133">
        <f t="shared" ca="1" si="6"/>
        <v>673.70546491601431</v>
      </c>
      <c r="E56" s="133">
        <f t="shared" ca="1" si="6"/>
        <v>1473.445619306242</v>
      </c>
      <c r="F56" s="287" t="str">
        <f t="shared" ca="1" si="8"/>
        <v/>
      </c>
      <c r="G56" s="287" t="str">
        <f t="shared" ca="1" si="7"/>
        <v/>
      </c>
      <c r="H56" s="287" t="str">
        <f t="shared" ca="1" si="7"/>
        <v/>
      </c>
      <c r="I56" s="135"/>
      <c r="J56" s="135"/>
      <c r="K56" s="293"/>
      <c r="L56" s="137"/>
      <c r="M56" s="137"/>
      <c r="N56" s="137"/>
    </row>
    <row r="57" spans="1:14" s="124" customFormat="1">
      <c r="A57" s="135"/>
      <c r="B57" s="9" t="s">
        <v>270</v>
      </c>
      <c r="C57" s="133">
        <f t="shared" ca="1" si="6"/>
        <v>283.78117910767162</v>
      </c>
      <c r="D57" s="133">
        <f t="shared" ca="1" si="6"/>
        <v>632.98036820284892</v>
      </c>
      <c r="E57" s="133">
        <f t="shared" ca="1" si="6"/>
        <v>1384.3767034776952</v>
      </c>
      <c r="F57" s="287" t="str">
        <f t="shared" ca="1" si="8"/>
        <v/>
      </c>
      <c r="G57" s="287" t="str">
        <f t="shared" ca="1" si="7"/>
        <v/>
      </c>
      <c r="H57" s="287" t="str">
        <f t="shared" ca="1" si="7"/>
        <v/>
      </c>
      <c r="I57" s="135"/>
      <c r="J57" s="135"/>
      <c r="K57" s="293"/>
      <c r="L57" s="137"/>
      <c r="M57" s="137"/>
      <c r="N57" s="137"/>
    </row>
    <row r="58" spans="1:14" s="124" customFormat="1">
      <c r="A58" s="135"/>
      <c r="B58" s="9" t="s">
        <v>271</v>
      </c>
      <c r="C58" s="133">
        <f t="shared" ca="1" si="6"/>
        <v>292.57661179625563</v>
      </c>
      <c r="D58" s="133">
        <f t="shared" ca="1" si="6"/>
        <v>652.59878066850069</v>
      </c>
      <c r="E58" s="133">
        <f t="shared" ca="1" si="6"/>
        <v>1427.2836790190931</v>
      </c>
      <c r="F58" s="287" t="str">
        <f t="shared" ca="1" si="8"/>
        <v/>
      </c>
      <c r="G58" s="287" t="str">
        <f t="shared" ca="1" si="7"/>
        <v/>
      </c>
      <c r="H58" s="287" t="str">
        <f t="shared" ca="1" si="7"/>
        <v/>
      </c>
      <c r="I58" s="135"/>
      <c r="J58" s="135"/>
      <c r="K58" s="293"/>
      <c r="L58" s="137"/>
      <c r="M58" s="137"/>
      <c r="N58" s="137"/>
    </row>
    <row r="59" spans="1:14" s="124" customFormat="1" ht="15.75" thickBot="1">
      <c r="A59" s="135"/>
      <c r="B59" s="9" t="s">
        <v>272</v>
      </c>
      <c r="C59" s="138">
        <f t="shared" ca="1" si="6"/>
        <v>282.59945043929474</v>
      </c>
      <c r="D59" s="138">
        <f t="shared" ca="1" si="6"/>
        <v>630.34449555626566</v>
      </c>
      <c r="E59" s="138">
        <f t="shared" ca="1" si="6"/>
        <v>1378.6118474591362</v>
      </c>
      <c r="F59" s="297" t="str">
        <f t="shared" ca="1" si="8"/>
        <v/>
      </c>
      <c r="G59" s="297" t="str">
        <f t="shared" ca="1" si="7"/>
        <v/>
      </c>
      <c r="H59" s="297" t="str">
        <f t="shared" ca="1" si="7"/>
        <v/>
      </c>
      <c r="I59" s="294"/>
      <c r="J59" s="294"/>
      <c r="K59" s="295"/>
      <c r="L59" s="137"/>
      <c r="M59" s="137"/>
      <c r="N59" s="137"/>
    </row>
    <row r="60" spans="1:14" s="124" customFormat="1">
      <c r="A60" s="135"/>
      <c r="B60" s="422"/>
      <c r="C60" s="423"/>
      <c r="D60" s="423"/>
      <c r="E60" s="423"/>
      <c r="F60" s="436"/>
      <c r="G60" s="436"/>
      <c r="H60" s="436"/>
      <c r="I60" s="423"/>
      <c r="J60" s="423"/>
      <c r="K60" s="424"/>
    </row>
    <row r="61" spans="1:14" s="124" customFormat="1">
      <c r="B61" s="4" t="s">
        <v>288</v>
      </c>
      <c r="C61" s="204" t="s">
        <v>207</v>
      </c>
      <c r="D61" s="204" t="s">
        <v>18</v>
      </c>
      <c r="E61" s="204" t="s">
        <v>208</v>
      </c>
      <c r="F61" s="429"/>
      <c r="G61" s="429"/>
      <c r="H61" s="429"/>
      <c r="I61" s="429"/>
      <c r="J61" s="429"/>
      <c r="K61" s="430"/>
    </row>
    <row r="62" spans="1:14" s="124" customFormat="1">
      <c r="A62" s="132" t="s">
        <v>57</v>
      </c>
      <c r="B62" s="126" t="s">
        <v>57</v>
      </c>
      <c r="C62" s="133">
        <f ca="1">(AVERAGE(I$8+I$9,I$32+I$33))*INDIRECT(CONCATENATE($A62,"_IMPERVIOUS"))</f>
        <v>1782.8151527781397</v>
      </c>
      <c r="D62" s="133">
        <f ca="1">(AVERAGE(J$8+J$9,J$32+J$33))*INDIRECT(CONCATENATE($A62,"_IMPERVIOUS"))</f>
        <v>4506.5605250780736</v>
      </c>
      <c r="E62" s="133">
        <f ca="1">(AVERAGE(K$8+K$9,K$32+K$33))*INDIRECT(CONCATENATE($A62,"_IMPERVIOUS"))</f>
        <v>10573.405884441781</v>
      </c>
      <c r="F62" s="429"/>
      <c r="G62" s="429"/>
      <c r="H62" s="429"/>
      <c r="I62" s="429"/>
      <c r="J62" s="429"/>
      <c r="K62" s="430"/>
    </row>
    <row r="63" spans="1:14" s="124" customFormat="1">
      <c r="A63" s="132" t="s">
        <v>266</v>
      </c>
      <c r="B63" s="9" t="s">
        <v>266</v>
      </c>
      <c r="C63" s="133">
        <f t="shared" ref="C63:C69" ca="1" si="9">(AVERAGE(I$8+I$9,I$32+I$33))*INDIRECT(CONCATENATE($A63,"_IMPERVIOUS"))</f>
        <v>3531.5795103956325</v>
      </c>
      <c r="D63" s="133">
        <f t="shared" ref="D63:D69" ca="1" si="10">(AVERAGE(J$8+J$9,J$32+J$33))*INDIRECT(CONCATENATE($A63,"_IMPERVIOUS"))</f>
        <v>8927.0482068334022</v>
      </c>
      <c r="E63" s="133">
        <f t="shared" ref="E63:E69" ca="1" si="11">(AVERAGE(K$8+K$9,K$32+K$33))*INDIRECT(CONCATENATE($A63,"_IMPERVIOUS"))</f>
        <v>20944.865494554186</v>
      </c>
      <c r="F63" s="429"/>
      <c r="G63" s="429"/>
      <c r="H63" s="429"/>
      <c r="I63" s="429"/>
      <c r="J63" s="429"/>
      <c r="K63" s="430"/>
    </row>
    <row r="64" spans="1:14" s="124" customFormat="1">
      <c r="A64" s="132" t="s">
        <v>267</v>
      </c>
      <c r="B64" s="9" t="s">
        <v>267</v>
      </c>
      <c r="C64" s="133">
        <f t="shared" ca="1" si="9"/>
        <v>1675.1364321685483</v>
      </c>
      <c r="D64" s="133">
        <f t="shared" ca="1" si="10"/>
        <v>4234.3726479816069</v>
      </c>
      <c r="E64" s="133">
        <f t="shared" ca="1" si="11"/>
        <v>9934.7918271468025</v>
      </c>
      <c r="F64" s="429"/>
      <c r="G64" s="429"/>
      <c r="H64" s="429"/>
      <c r="I64" s="429"/>
      <c r="J64" s="429"/>
      <c r="K64" s="430"/>
    </row>
    <row r="65" spans="1:11" s="124" customFormat="1">
      <c r="A65" s="132" t="s">
        <v>268</v>
      </c>
      <c r="B65" s="9" t="s">
        <v>268</v>
      </c>
      <c r="C65" s="133">
        <f t="shared" ca="1" si="9"/>
        <v>1745.1771222128534</v>
      </c>
      <c r="D65" s="133">
        <f t="shared" ca="1" si="10"/>
        <v>4411.4199478158225</v>
      </c>
      <c r="E65" s="133">
        <f t="shared" ca="1" si="11"/>
        <v>10350.184664206101</v>
      </c>
      <c r="F65" s="429"/>
      <c r="G65" s="429"/>
      <c r="H65" s="429"/>
      <c r="I65" s="429"/>
      <c r="J65" s="429"/>
      <c r="K65" s="430"/>
    </row>
    <row r="66" spans="1:11" s="124" customFormat="1">
      <c r="A66" s="132" t="s">
        <v>269</v>
      </c>
      <c r="B66" s="9" t="s">
        <v>269</v>
      </c>
      <c r="C66" s="133">
        <f t="shared" ca="1" si="9"/>
        <v>1860.4987130591749</v>
      </c>
      <c r="D66" s="133">
        <f t="shared" ca="1" si="10"/>
        <v>4702.9273024551358</v>
      </c>
      <c r="E66" s="133">
        <f t="shared" ca="1" si="11"/>
        <v>11034.126566628007</v>
      </c>
      <c r="F66" s="429"/>
      <c r="G66" s="429"/>
      <c r="H66" s="429"/>
      <c r="I66" s="429"/>
      <c r="J66" s="429"/>
      <c r="K66" s="430"/>
    </row>
    <row r="67" spans="1:11" s="124" customFormat="1">
      <c r="A67" s="132" t="s">
        <v>270</v>
      </c>
      <c r="B67" s="9" t="s">
        <v>270</v>
      </c>
      <c r="C67" s="133">
        <f t="shared" ca="1" si="9"/>
        <v>1748.0326667380277</v>
      </c>
      <c r="D67" s="133">
        <f t="shared" ca="1" si="10"/>
        <v>4418.6381298100132</v>
      </c>
      <c r="E67" s="133">
        <f t="shared" ca="1" si="11"/>
        <v>10367.120144723369</v>
      </c>
      <c r="F67" s="429"/>
      <c r="G67" s="429"/>
      <c r="H67" s="429"/>
      <c r="I67" s="429"/>
      <c r="J67" s="429"/>
      <c r="K67" s="430"/>
    </row>
    <row r="68" spans="1:11" s="124" customFormat="1">
      <c r="A68" s="132" t="s">
        <v>271</v>
      </c>
      <c r="B68" s="9" t="s">
        <v>271</v>
      </c>
      <c r="C68" s="133">
        <f t="shared" ca="1" si="9"/>
        <v>1802.2106911795534</v>
      </c>
      <c r="D68" s="133">
        <f t="shared" ca="1" si="10"/>
        <v>4555.5881360372032</v>
      </c>
      <c r="E68" s="133">
        <f t="shared" ca="1" si="11"/>
        <v>10688.435700935013</v>
      </c>
      <c r="F68" s="429"/>
      <c r="G68" s="429"/>
      <c r="H68" s="429"/>
      <c r="I68" s="429"/>
      <c r="J68" s="429"/>
      <c r="K68" s="430"/>
    </row>
    <row r="69" spans="1:11" s="124" customFormat="1" ht="15.75" thickBot="1">
      <c r="A69" s="132" t="s">
        <v>272</v>
      </c>
      <c r="B69" s="9" t="s">
        <v>272</v>
      </c>
      <c r="C69" s="133">
        <f t="shared" ca="1" si="9"/>
        <v>1740.7534654814856</v>
      </c>
      <c r="D69" s="133">
        <f t="shared" ca="1" si="10"/>
        <v>4400.2379266337539</v>
      </c>
      <c r="E69" s="133">
        <f t="shared" ca="1" si="11"/>
        <v>10323.949124284136</v>
      </c>
      <c r="F69" s="431"/>
      <c r="G69" s="431"/>
      <c r="H69" s="431"/>
      <c r="I69" s="431"/>
      <c r="J69" s="431"/>
      <c r="K69" s="432"/>
    </row>
    <row r="70" spans="1:11" s="124" customFormat="1">
      <c r="A70" s="135"/>
      <c r="B70" s="422"/>
      <c r="C70" s="423"/>
      <c r="D70" s="423"/>
      <c r="E70" s="423"/>
      <c r="F70" s="423"/>
      <c r="G70" s="423"/>
      <c r="H70" s="423"/>
      <c r="I70" s="423"/>
      <c r="J70" s="423"/>
      <c r="K70" s="424"/>
    </row>
    <row r="71" spans="1:11" s="124" customFormat="1">
      <c r="B71" s="4" t="s">
        <v>475</v>
      </c>
      <c r="C71" s="262" t="s">
        <v>207</v>
      </c>
      <c r="D71" s="262" t="s">
        <v>18</v>
      </c>
      <c r="E71" s="262" t="s">
        <v>208</v>
      </c>
      <c r="F71" s="429"/>
      <c r="G71" s="429"/>
      <c r="H71" s="429"/>
      <c r="I71" s="429"/>
      <c r="J71" s="429"/>
      <c r="K71" s="430"/>
    </row>
    <row r="72" spans="1:11" s="124" customFormat="1">
      <c r="A72" s="132" t="s">
        <v>57</v>
      </c>
      <c r="B72" s="126" t="s">
        <v>57</v>
      </c>
      <c r="C72" s="133">
        <f t="shared" ref="C72:E79" ca="1" si="12">(AVERAGE(I$10,I$34)*Project_Acres_Developable*INDIRECT(CONCATENATE("LAND_COST_",$A72)))*INDIRECT(CONCATENATE($A72,"_IMPERVIOUS"))</f>
        <v>517.81114940972338</v>
      </c>
      <c r="D72" s="133">
        <f t="shared" ca="1" si="12"/>
        <v>517.81114940972338</v>
      </c>
      <c r="E72" s="133">
        <f t="shared" ca="1" si="12"/>
        <v>517.81114940972338</v>
      </c>
      <c r="F72" s="429"/>
      <c r="G72" s="429"/>
      <c r="H72" s="429"/>
      <c r="I72" s="429"/>
      <c r="J72" s="429"/>
      <c r="K72" s="430"/>
    </row>
    <row r="73" spans="1:11" s="124" customFormat="1">
      <c r="A73" s="132" t="s">
        <v>266</v>
      </c>
      <c r="B73" s="9" t="s">
        <v>266</v>
      </c>
      <c r="C73" s="133">
        <f t="shared" ca="1" si="12"/>
        <v>1025.7323888346825</v>
      </c>
      <c r="D73" s="133">
        <f t="shared" ca="1" si="12"/>
        <v>1025.7323888346825</v>
      </c>
      <c r="E73" s="133">
        <f t="shared" ca="1" si="12"/>
        <v>1025.7323888346825</v>
      </c>
      <c r="F73" s="429"/>
      <c r="G73" s="429"/>
      <c r="H73" s="429"/>
      <c r="I73" s="429"/>
      <c r="J73" s="429"/>
      <c r="K73" s="430"/>
    </row>
    <row r="74" spans="1:11" s="124" customFormat="1">
      <c r="A74" s="132" t="s">
        <v>267</v>
      </c>
      <c r="B74" s="9" t="s">
        <v>267</v>
      </c>
      <c r="C74" s="133">
        <f t="shared" ca="1" si="12"/>
        <v>486.53631870226889</v>
      </c>
      <c r="D74" s="133">
        <f t="shared" ca="1" si="12"/>
        <v>486.53631870226889</v>
      </c>
      <c r="E74" s="133">
        <f t="shared" ca="1" si="12"/>
        <v>486.53631870226889</v>
      </c>
      <c r="F74" s="429"/>
      <c r="G74" s="429"/>
      <c r="H74" s="429"/>
      <c r="I74" s="429"/>
      <c r="J74" s="429"/>
      <c r="K74" s="430"/>
    </row>
    <row r="75" spans="1:11" s="124" customFormat="1">
      <c r="A75" s="132" t="s">
        <v>268</v>
      </c>
      <c r="B75" s="9" t="s">
        <v>268</v>
      </c>
      <c r="C75" s="133">
        <f t="shared" ca="1" si="12"/>
        <v>506.87934201614195</v>
      </c>
      <c r="D75" s="133">
        <f t="shared" ca="1" si="12"/>
        <v>506.87934201614195</v>
      </c>
      <c r="E75" s="133">
        <f t="shared" ca="1" si="12"/>
        <v>506.87934201614195</v>
      </c>
      <c r="F75" s="429"/>
      <c r="G75" s="429"/>
      <c r="H75" s="429"/>
      <c r="I75" s="429"/>
      <c r="J75" s="429"/>
      <c r="K75" s="430"/>
    </row>
    <row r="76" spans="1:11" s="124" customFormat="1">
      <c r="A76" s="132" t="s">
        <v>269</v>
      </c>
      <c r="B76" s="9" t="s">
        <v>269</v>
      </c>
      <c r="C76" s="133">
        <f t="shared" ca="1" si="12"/>
        <v>540.37401218137961</v>
      </c>
      <c r="D76" s="133">
        <f t="shared" ca="1" si="12"/>
        <v>540.37401218137961</v>
      </c>
      <c r="E76" s="133">
        <f t="shared" ca="1" si="12"/>
        <v>540.37401218137961</v>
      </c>
      <c r="F76" s="429"/>
      <c r="G76" s="429"/>
      <c r="H76" s="429"/>
      <c r="I76" s="429"/>
      <c r="J76" s="429"/>
      <c r="K76" s="430"/>
    </row>
    <row r="77" spans="1:11" s="124" customFormat="1">
      <c r="A77" s="132" t="s">
        <v>270</v>
      </c>
      <c r="B77" s="9" t="s">
        <v>270</v>
      </c>
      <c r="C77" s="133">
        <f t="shared" ca="1" si="12"/>
        <v>507.70872289192539</v>
      </c>
      <c r="D77" s="133">
        <f t="shared" ca="1" si="12"/>
        <v>507.70872289192539</v>
      </c>
      <c r="E77" s="133">
        <f t="shared" ca="1" si="12"/>
        <v>507.70872289192539</v>
      </c>
      <c r="F77" s="429"/>
      <c r="G77" s="429"/>
      <c r="H77" s="429"/>
      <c r="I77" s="429"/>
      <c r="J77" s="429"/>
      <c r="K77" s="430"/>
    </row>
    <row r="78" spans="1:11" s="124" customFormat="1">
      <c r="A78" s="132" t="s">
        <v>271</v>
      </c>
      <c r="B78" s="9" t="s">
        <v>271</v>
      </c>
      <c r="C78" s="133">
        <f t="shared" ca="1" si="12"/>
        <v>523.44450181723812</v>
      </c>
      <c r="D78" s="133">
        <f t="shared" ca="1" si="12"/>
        <v>523.44450181723812</v>
      </c>
      <c r="E78" s="133">
        <f t="shared" ca="1" si="12"/>
        <v>523.44450181723812</v>
      </c>
      <c r="F78" s="429"/>
      <c r="G78" s="429"/>
      <c r="H78" s="429"/>
      <c r="I78" s="429"/>
      <c r="J78" s="429"/>
      <c r="K78" s="430"/>
    </row>
    <row r="79" spans="1:11" s="124" customFormat="1" ht="15.75" thickBot="1">
      <c r="A79" s="132" t="s">
        <v>272</v>
      </c>
      <c r="B79" s="9" t="s">
        <v>272</v>
      </c>
      <c r="C79" s="133">
        <f t="shared" ca="1" si="12"/>
        <v>505.59450955715471</v>
      </c>
      <c r="D79" s="133">
        <f t="shared" ca="1" si="12"/>
        <v>505.59450955715471</v>
      </c>
      <c r="E79" s="133">
        <f t="shared" ca="1" si="12"/>
        <v>505.59450955715471</v>
      </c>
      <c r="F79" s="431"/>
      <c r="G79" s="431"/>
      <c r="H79" s="431"/>
      <c r="I79" s="431"/>
      <c r="J79" s="431"/>
      <c r="K79" s="432"/>
    </row>
    <row r="80" spans="1:11" s="124" customFormat="1">
      <c r="A80" s="135"/>
      <c r="B80" s="422"/>
      <c r="C80" s="423"/>
      <c r="D80" s="423"/>
      <c r="E80" s="423"/>
      <c r="F80" s="423"/>
      <c r="G80" s="423"/>
      <c r="H80" s="423"/>
      <c r="I80" s="423"/>
      <c r="J80" s="423"/>
      <c r="K80" s="424"/>
    </row>
    <row r="81" spans="1:11" s="124" customFormat="1">
      <c r="B81" s="4" t="s">
        <v>476</v>
      </c>
      <c r="C81" s="204" t="s">
        <v>207</v>
      </c>
      <c r="D81" s="204" t="s">
        <v>18</v>
      </c>
      <c r="E81" s="204" t="s">
        <v>208</v>
      </c>
      <c r="F81" s="429"/>
      <c r="G81" s="429"/>
      <c r="H81" s="429"/>
      <c r="I81" s="429"/>
      <c r="J81" s="429"/>
      <c r="K81" s="430"/>
    </row>
    <row r="82" spans="1:11" s="124" customFormat="1">
      <c r="A82" s="132" t="s">
        <v>57</v>
      </c>
      <c r="B82" s="126" t="s">
        <v>57</v>
      </c>
      <c r="C82" s="133">
        <f t="shared" ref="C82:E89" ca="1" si="13">AVERAGE(I$11,I$35)*INDIRECT(CONCATENATE($A82,"_IMPERVIOUS"))</f>
        <v>84.89595965610188</v>
      </c>
      <c r="D82" s="133">
        <f t="shared" ca="1" si="13"/>
        <v>183.9412459215541</v>
      </c>
      <c r="E82" s="133">
        <f t="shared" ca="1" si="13"/>
        <v>377.62163873006358</v>
      </c>
      <c r="F82" s="429"/>
      <c r="G82" s="429"/>
      <c r="H82" s="429"/>
      <c r="I82" s="429"/>
      <c r="J82" s="429"/>
      <c r="K82" s="430"/>
    </row>
    <row r="83" spans="1:11" s="124" customFormat="1">
      <c r="A83" s="132" t="s">
        <v>266</v>
      </c>
      <c r="B83" s="9" t="s">
        <v>266</v>
      </c>
      <c r="C83" s="133">
        <f ca="1">AVERAGE(I$11,I$35)*INDIRECT(CONCATENATE($A83,"_IMPERVIOUS"))</f>
        <v>168.17045287598251</v>
      </c>
      <c r="D83" s="133">
        <f t="shared" ca="1" si="13"/>
        <v>364.36931456462878</v>
      </c>
      <c r="E83" s="133">
        <f t="shared" ca="1" si="13"/>
        <v>748.03091051979231</v>
      </c>
      <c r="F83" s="429"/>
      <c r="G83" s="429"/>
      <c r="H83" s="429"/>
      <c r="I83" s="429"/>
      <c r="J83" s="429"/>
      <c r="K83" s="430"/>
    </row>
    <row r="84" spans="1:11" s="124" customFormat="1">
      <c r="A84" s="132" t="s">
        <v>267</v>
      </c>
      <c r="B84" s="9" t="s">
        <v>267</v>
      </c>
      <c r="C84" s="133">
        <f t="shared" ca="1" si="13"/>
        <v>79.768401531835622</v>
      </c>
      <c r="D84" s="133">
        <f t="shared" ca="1" si="13"/>
        <v>172.83153665231055</v>
      </c>
      <c r="E84" s="133">
        <f t="shared" ca="1" si="13"/>
        <v>354.81399382667149</v>
      </c>
      <c r="F84" s="429"/>
      <c r="G84" s="429"/>
      <c r="H84" s="429"/>
      <c r="I84" s="429"/>
      <c r="J84" s="429"/>
      <c r="K84" s="430"/>
    </row>
    <row r="85" spans="1:11" s="124" customFormat="1">
      <c r="A85" s="132" t="s">
        <v>268</v>
      </c>
      <c r="B85" s="9" t="s">
        <v>268</v>
      </c>
      <c r="C85" s="133">
        <f t="shared" ca="1" si="13"/>
        <v>83.103672486326346</v>
      </c>
      <c r="D85" s="133">
        <f t="shared" ca="1" si="13"/>
        <v>180.0579570537071</v>
      </c>
      <c r="E85" s="133">
        <f t="shared" ca="1" si="13"/>
        <v>369.649452293075</v>
      </c>
      <c r="F85" s="429"/>
      <c r="G85" s="429"/>
      <c r="H85" s="429"/>
      <c r="I85" s="429"/>
      <c r="J85" s="429"/>
      <c r="K85" s="430"/>
    </row>
    <row r="86" spans="1:11" s="124" customFormat="1">
      <c r="A86" s="132" t="s">
        <v>269</v>
      </c>
      <c r="B86" s="9" t="s">
        <v>269</v>
      </c>
      <c r="C86" s="133">
        <f t="shared" ca="1" si="13"/>
        <v>88.595176812341663</v>
      </c>
      <c r="D86" s="133">
        <f t="shared" ca="1" si="13"/>
        <v>191.95621642674027</v>
      </c>
      <c r="E86" s="133">
        <f t="shared" ca="1" si="13"/>
        <v>394.0759488081431</v>
      </c>
      <c r="F86" s="429"/>
      <c r="G86" s="429"/>
      <c r="H86" s="429"/>
      <c r="I86" s="429"/>
      <c r="J86" s="429"/>
      <c r="K86" s="430"/>
    </row>
    <row r="87" spans="1:11" s="124" customFormat="1">
      <c r="A87" s="132" t="s">
        <v>270</v>
      </c>
      <c r="B87" s="9" t="s">
        <v>270</v>
      </c>
      <c r="C87" s="133">
        <f t="shared" ca="1" si="13"/>
        <v>83.239650797048938</v>
      </c>
      <c r="D87" s="133">
        <f t="shared" ca="1" si="13"/>
        <v>180.35257672693936</v>
      </c>
      <c r="E87" s="133">
        <f t="shared" ca="1" si="13"/>
        <v>370.25429088297744</v>
      </c>
      <c r="F87" s="429"/>
      <c r="G87" s="429"/>
      <c r="H87" s="429"/>
      <c r="I87" s="429"/>
      <c r="J87" s="429"/>
      <c r="K87" s="430"/>
    </row>
    <row r="88" spans="1:11" s="124" customFormat="1">
      <c r="A88" s="132" t="s">
        <v>271</v>
      </c>
      <c r="B88" s="9" t="s">
        <v>271</v>
      </c>
      <c r="C88" s="133">
        <f t="shared" ca="1" si="13"/>
        <v>85.81955672283587</v>
      </c>
      <c r="D88" s="133">
        <f t="shared" ca="1" si="13"/>
        <v>185.94237289947773</v>
      </c>
      <c r="E88" s="133">
        <f t="shared" ca="1" si="13"/>
        <v>381.72984646196477</v>
      </c>
      <c r="F88" s="429"/>
      <c r="G88" s="429"/>
      <c r="H88" s="429"/>
      <c r="I88" s="429"/>
      <c r="J88" s="429"/>
      <c r="K88" s="430"/>
    </row>
    <row r="89" spans="1:11" s="124" customFormat="1" ht="15.75" thickBot="1">
      <c r="A89" s="132" t="s">
        <v>272</v>
      </c>
      <c r="B89" s="9" t="s">
        <v>272</v>
      </c>
      <c r="C89" s="138">
        <f t="shared" ca="1" si="13"/>
        <v>82.893022165785027</v>
      </c>
      <c r="D89" s="138">
        <f t="shared" ca="1" si="13"/>
        <v>179.60154802586757</v>
      </c>
      <c r="E89" s="138">
        <f t="shared" ca="1" si="13"/>
        <v>368.71246872443339</v>
      </c>
      <c r="F89" s="431"/>
      <c r="G89" s="431"/>
      <c r="H89" s="431"/>
      <c r="I89" s="431"/>
      <c r="J89" s="431"/>
      <c r="K89" s="432"/>
    </row>
    <row r="90" spans="1:11" s="124" customFormat="1">
      <c r="A90" s="135"/>
      <c r="B90" s="135"/>
      <c r="C90" s="139"/>
      <c r="D90" s="139"/>
      <c r="E90" s="139"/>
      <c r="F90" s="140"/>
      <c r="G90" s="140"/>
      <c r="H90" s="140"/>
      <c r="I90" s="140"/>
      <c r="J90" s="140"/>
      <c r="K90" s="140"/>
    </row>
    <row r="91" spans="1:11">
      <c r="B91" s="143"/>
      <c r="C91" s="143"/>
      <c r="H91" s="141"/>
    </row>
    <row r="92" spans="1:11">
      <c r="B92" s="143"/>
      <c r="C92" s="143"/>
      <c r="H92" s="141"/>
    </row>
    <row r="93" spans="1:11">
      <c r="B93" s="143"/>
      <c r="C93" s="143"/>
      <c r="H93" s="141"/>
    </row>
    <row r="94" spans="1:11">
      <c r="B94" s="143"/>
      <c r="C94" s="143"/>
      <c r="H94" s="141"/>
    </row>
    <row r="95" spans="1:11">
      <c r="B95" s="143"/>
      <c r="C95" s="143"/>
    </row>
  </sheetData>
  <mergeCells count="30">
    <mergeCell ref="B23:K23"/>
    <mergeCell ref="F61:K69"/>
    <mergeCell ref="F81:K89"/>
    <mergeCell ref="B60:K60"/>
    <mergeCell ref="B70:K70"/>
    <mergeCell ref="B24:K24"/>
    <mergeCell ref="F37:K45"/>
    <mergeCell ref="B50:K50"/>
    <mergeCell ref="B36:K36"/>
    <mergeCell ref="B46:K46"/>
    <mergeCell ref="B48:K48"/>
    <mergeCell ref="B26:K26"/>
    <mergeCell ref="B29:B30"/>
    <mergeCell ref="D27:K28"/>
    <mergeCell ref="B80:K80"/>
    <mergeCell ref="B1:K1"/>
    <mergeCell ref="B22:K22"/>
    <mergeCell ref="I5:K5"/>
    <mergeCell ref="I29:K29"/>
    <mergeCell ref="F71:K79"/>
    <mergeCell ref="C29:E29"/>
    <mergeCell ref="F29:H29"/>
    <mergeCell ref="B2:K2"/>
    <mergeCell ref="D3:K4"/>
    <mergeCell ref="B5:B6"/>
    <mergeCell ref="B12:K12"/>
    <mergeCell ref="F13:K21"/>
    <mergeCell ref="C5:E5"/>
    <mergeCell ref="F5:H5"/>
    <mergeCell ref="B47:K47"/>
  </mergeCells>
  <pageMargins left="0.75" right="0.75" top="1" bottom="1" header="0.5" footer="0.5"/>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sheetPr codeName="Sheet27"/>
  <dimension ref="A1:N56"/>
  <sheetViews>
    <sheetView topLeftCell="B1" zoomScale="85" zoomScaleNormal="85" workbookViewId="0">
      <selection activeCell="M16" sqref="M16"/>
    </sheetView>
  </sheetViews>
  <sheetFormatPr defaultColWidth="9.140625" defaultRowHeight="15"/>
  <cols>
    <col min="1" max="1" width="10.7109375" style="31" hidden="1" customWidth="1"/>
    <col min="2" max="2" width="56.140625" style="31" customWidth="1"/>
    <col min="3" max="3" width="8.85546875" style="31" bestFit="1" customWidth="1"/>
    <col min="4" max="4" width="8.42578125" style="31" bestFit="1" customWidth="1"/>
    <col min="5" max="13" width="9.140625" style="31"/>
    <col min="14" max="14" width="19.140625" style="31" bestFit="1" customWidth="1"/>
    <col min="15" max="16384" width="9.140625" style="31"/>
  </cols>
  <sheetData>
    <row r="1" spans="1:14" ht="33" customHeight="1" thickBot="1">
      <c r="B1" s="402" t="s">
        <v>218</v>
      </c>
      <c r="C1" s="403"/>
      <c r="D1" s="403"/>
      <c r="E1" s="403"/>
      <c r="F1" s="403"/>
      <c r="G1" s="403"/>
      <c r="H1" s="403"/>
      <c r="I1" s="403"/>
      <c r="J1" s="403"/>
      <c r="K1" s="403"/>
    </row>
    <row r="2" spans="1:14" s="3" customFormat="1">
      <c r="B2" s="338" t="s">
        <v>333</v>
      </c>
      <c r="C2" s="336"/>
      <c r="D2" s="336"/>
      <c r="E2" s="336"/>
      <c r="F2" s="336"/>
      <c r="G2" s="336"/>
      <c r="H2" s="336"/>
      <c r="I2" s="336"/>
      <c r="J2" s="336"/>
      <c r="K2" s="337"/>
    </row>
    <row r="3" spans="1:14" s="3" customFormat="1">
      <c r="B3" s="443" t="s">
        <v>334</v>
      </c>
      <c r="C3" s="444"/>
      <c r="D3" s="444"/>
      <c r="E3" s="444"/>
      <c r="F3" s="444"/>
      <c r="G3" s="444"/>
      <c r="H3" s="444"/>
      <c r="I3" s="444"/>
      <c r="J3" s="444"/>
      <c r="K3" s="445"/>
    </row>
    <row r="4" spans="1:14" s="3" customFormat="1">
      <c r="B4" s="4" t="s">
        <v>405</v>
      </c>
      <c r="C4" s="5">
        <v>20</v>
      </c>
      <c r="D4" s="374"/>
      <c r="E4" s="374"/>
      <c r="F4" s="374"/>
      <c r="G4" s="374"/>
      <c r="H4" s="374"/>
      <c r="I4" s="374"/>
      <c r="J4" s="374"/>
      <c r="K4" s="375"/>
    </row>
    <row r="5" spans="1:14" s="3" customFormat="1" hidden="1">
      <c r="B5" s="7" t="s">
        <v>254</v>
      </c>
      <c r="C5" s="6" t="s">
        <v>256</v>
      </c>
      <c r="D5" s="374"/>
      <c r="E5" s="374"/>
      <c r="F5" s="374"/>
      <c r="G5" s="374"/>
      <c r="H5" s="374"/>
      <c r="I5" s="374"/>
      <c r="J5" s="374"/>
      <c r="K5" s="375"/>
    </row>
    <row r="6" spans="1:14" s="3" customFormat="1">
      <c r="B6" s="383"/>
      <c r="C6" s="376" t="s">
        <v>175</v>
      </c>
      <c r="D6" s="376"/>
      <c r="E6" s="376"/>
      <c r="F6" s="376" t="s">
        <v>176</v>
      </c>
      <c r="G6" s="376"/>
      <c r="H6" s="376"/>
      <c r="I6" s="328" t="s">
        <v>335</v>
      </c>
      <c r="J6" s="328"/>
      <c r="K6" s="386"/>
    </row>
    <row r="7" spans="1:14" s="3" customFormat="1">
      <c r="B7" s="383"/>
      <c r="C7" s="52" t="s">
        <v>252</v>
      </c>
      <c r="D7" s="52" t="s">
        <v>18</v>
      </c>
      <c r="E7" s="52" t="s">
        <v>253</v>
      </c>
      <c r="F7" s="52" t="s">
        <v>252</v>
      </c>
      <c r="G7" s="52" t="s">
        <v>18</v>
      </c>
      <c r="H7" s="52" t="s">
        <v>253</v>
      </c>
      <c r="I7" s="52" t="s">
        <v>252</v>
      </c>
      <c r="J7" s="52" t="s">
        <v>18</v>
      </c>
      <c r="K7" s="53" t="s">
        <v>253</v>
      </c>
    </row>
    <row r="8" spans="1:14" s="3" customFormat="1">
      <c r="B8" s="7" t="s">
        <v>257</v>
      </c>
      <c r="C8" s="6">
        <v>19900</v>
      </c>
      <c r="D8" s="6">
        <v>25400</v>
      </c>
      <c r="E8" s="6">
        <v>41750</v>
      </c>
      <c r="F8" s="6">
        <f>C8*2</f>
        <v>39800</v>
      </c>
      <c r="G8" s="6">
        <f>D8*2</f>
        <v>50800</v>
      </c>
      <c r="H8" s="6">
        <f>E8*2</f>
        <v>83500</v>
      </c>
      <c r="I8" s="6">
        <f t="shared" ref="I8:K9" si="0">AVERAGE(C8,F8)</f>
        <v>29850</v>
      </c>
      <c r="J8" s="6">
        <f t="shared" si="0"/>
        <v>38100</v>
      </c>
      <c r="K8" s="8">
        <f t="shared" si="0"/>
        <v>62625</v>
      </c>
    </row>
    <row r="9" spans="1:14" s="3" customFormat="1">
      <c r="B9" s="7" t="s">
        <v>258</v>
      </c>
      <c r="C9" s="6">
        <f t="shared" ref="C9:H9" si="1">C8*CCI_2006</f>
        <v>22598.348600180623</v>
      </c>
      <c r="D9" s="6">
        <f t="shared" si="1"/>
        <v>28844.123338924011</v>
      </c>
      <c r="E9" s="6">
        <f t="shared" si="1"/>
        <v>47411.108244097537</v>
      </c>
      <c r="F9" s="6">
        <f t="shared" si="1"/>
        <v>45196.697200361246</v>
      </c>
      <c r="G9" s="6">
        <f t="shared" si="1"/>
        <v>57688.246677848023</v>
      </c>
      <c r="H9" s="6">
        <f t="shared" si="1"/>
        <v>94822.216488195074</v>
      </c>
      <c r="I9" s="6">
        <f t="shared" si="0"/>
        <v>33897.522900270938</v>
      </c>
      <c r="J9" s="6">
        <f t="shared" si="0"/>
        <v>43266.185008386019</v>
      </c>
      <c r="K9" s="8">
        <f t="shared" si="0"/>
        <v>71116.662366146309</v>
      </c>
    </row>
    <row r="10" spans="1:14" s="3" customFormat="1">
      <c r="B10" s="7" t="s">
        <v>262</v>
      </c>
      <c r="C10" s="6">
        <f>C9*LOW_DE</f>
        <v>1129.9174300090312</v>
      </c>
      <c r="D10" s="6">
        <f>D9*MID_DE</f>
        <v>6489.9277512579038</v>
      </c>
      <c r="E10" s="6">
        <f>E9*HIGH_DE</f>
        <v>18964.443297639016</v>
      </c>
      <c r="F10" s="6">
        <f>F9*LOW_DE</f>
        <v>2259.8348600180625</v>
      </c>
      <c r="G10" s="6">
        <f>G9*MID_DE</f>
        <v>12979.855502515808</v>
      </c>
      <c r="H10" s="6">
        <f>H9*HIGH_DE</f>
        <v>37928.886595278032</v>
      </c>
      <c r="I10" s="6">
        <f>I9*LOW_DE</f>
        <v>1694.8761450135471</v>
      </c>
      <c r="J10" s="6">
        <f>J9*MID_DE</f>
        <v>9734.8916268868561</v>
      </c>
      <c r="K10" s="8">
        <f>K9*HIGH_DE</f>
        <v>28446.664946458524</v>
      </c>
    </row>
    <row r="11" spans="1:14" s="3" customFormat="1">
      <c r="B11" s="7" t="s">
        <v>296</v>
      </c>
      <c r="C11" s="45">
        <v>0.1</v>
      </c>
      <c r="D11" s="45">
        <v>0.1</v>
      </c>
      <c r="E11" s="45">
        <v>0.1</v>
      </c>
      <c r="F11" s="45">
        <v>0.1</v>
      </c>
      <c r="G11" s="45">
        <v>0.1</v>
      </c>
      <c r="H11" s="45">
        <v>0.1</v>
      </c>
      <c r="I11" s="45">
        <v>0.1</v>
      </c>
      <c r="J11" s="45">
        <v>0.1</v>
      </c>
      <c r="K11" s="45">
        <v>0.1</v>
      </c>
    </row>
    <row r="12" spans="1:14" s="3" customFormat="1">
      <c r="B12" s="7" t="s">
        <v>293</v>
      </c>
      <c r="C12" s="6">
        <f>C9*LOW_OM</f>
        <v>1129.9174300090312</v>
      </c>
      <c r="D12" s="6">
        <f>D9*MED_OM</f>
        <v>1442.2061669462007</v>
      </c>
      <c r="E12" s="6">
        <f>E9*HIGH_OM</f>
        <v>2370.555412204877</v>
      </c>
      <c r="F12" s="6">
        <f>F9*LOW_OM</f>
        <v>2259.8348600180625</v>
      </c>
      <c r="G12" s="6">
        <f>G9*MED_OM</f>
        <v>2884.4123338924014</v>
      </c>
      <c r="H12" s="6">
        <f>H9*HIGH_OM</f>
        <v>4741.1108244097541</v>
      </c>
      <c r="I12" s="6">
        <f>I9*LOW_OM</f>
        <v>1694.8761450135471</v>
      </c>
      <c r="J12" s="6">
        <f>J9*MED_OM</f>
        <v>2163.309250419301</v>
      </c>
      <c r="K12" s="8">
        <f>K9*HIGH_OM</f>
        <v>3555.8331183073155</v>
      </c>
    </row>
    <row r="13" spans="1:14" s="3" customFormat="1">
      <c r="B13" s="383"/>
      <c r="C13" s="384"/>
      <c r="D13" s="384"/>
      <c r="E13" s="384"/>
      <c r="F13" s="384"/>
      <c r="G13" s="384"/>
      <c r="H13" s="384"/>
      <c r="I13" s="384"/>
      <c r="J13" s="384"/>
      <c r="K13" s="385"/>
    </row>
    <row r="14" spans="1:14" s="3" customFormat="1">
      <c r="B14" s="4" t="s">
        <v>241</v>
      </c>
      <c r="C14" s="204" t="s">
        <v>207</v>
      </c>
      <c r="D14" s="204" t="s">
        <v>18</v>
      </c>
      <c r="E14" s="204" t="s">
        <v>208</v>
      </c>
      <c r="F14" s="35"/>
      <c r="G14" s="36"/>
      <c r="H14" s="36"/>
      <c r="I14" s="36"/>
      <c r="J14" s="36"/>
      <c r="K14" s="37"/>
    </row>
    <row r="15" spans="1:14" s="3" customFormat="1">
      <c r="A15" s="9" t="s">
        <v>57</v>
      </c>
      <c r="B15" s="7" t="s">
        <v>57</v>
      </c>
      <c r="C15" s="10">
        <f t="shared" ref="C15:E22" ca="1" si="2">(-PMT(Annual_rate,$C$4,I$9+I$10)+Project_Acres_Developable*INDIRECT(CONCATENATE("LAND_COST_",$A15))*Annual_rate*I$11+I$12)*INDIRECT(CONCATENATE($A15,"_IMPERVIOUS"))</f>
        <v>1399.2673017768766</v>
      </c>
      <c r="D15" s="10">
        <f t="shared" ca="1" si="2"/>
        <v>1945.9953860682801</v>
      </c>
      <c r="E15" s="10">
        <f t="shared" ca="1" si="2"/>
        <v>3444.4556566064248</v>
      </c>
      <c r="F15" s="285" t="str">
        <f ca="1">IF((-PMT(Annual_rate,$C$4,C25)+Annual_rate*C35+C45)=C15,"","Check")</f>
        <v/>
      </c>
      <c r="G15" s="287" t="str">
        <f ca="1">IF((-PMT(Annual_rate,$C$4,D25)+Annual_rate*D35+D45)=D15,"","Check")</f>
        <v/>
      </c>
      <c r="H15" s="287" t="str">
        <f ca="1">IF((-PMT(Annual_rate,$C$4,E25)+Annual_rate*E35+E45)=E15,"","Check")</f>
        <v/>
      </c>
      <c r="I15" s="12"/>
      <c r="J15" s="12"/>
      <c r="K15" s="39"/>
    </row>
    <row r="16" spans="1:14" s="3" customFormat="1">
      <c r="A16" s="9" t="s">
        <v>266</v>
      </c>
      <c r="B16" s="9" t="s">
        <v>266</v>
      </c>
      <c r="C16" s="10">
        <f t="shared" ca="1" si="2"/>
        <v>2771.8093627493163</v>
      </c>
      <c r="D16" s="10">
        <f t="shared" ca="1" si="2"/>
        <v>3854.8233236933952</v>
      </c>
      <c r="E16" s="10">
        <f t="shared" ca="1" si="2"/>
        <v>6823.1240924680242</v>
      </c>
      <c r="F16" s="285" t="str">
        <f t="shared" ref="F16:F22" ca="1" si="3">IF((-PMT(Annual_rate,$C$4,C26)+Annual_rate*C36+C46)=C16,"","Check")</f>
        <v/>
      </c>
      <c r="G16" s="287"/>
      <c r="H16" s="287" t="str">
        <f t="shared" ref="H16:H22" ca="1" si="4">IF((-PMT(Annual_rate,$C$4,E26)+Annual_rate*E36+E46)=E16,"","Check")</f>
        <v/>
      </c>
      <c r="I16" s="12"/>
      <c r="J16" s="12"/>
      <c r="K16" s="39"/>
      <c r="N16" s="299"/>
    </row>
    <row r="17" spans="1:14" s="3" customFormat="1">
      <c r="A17" s="9" t="s">
        <v>267</v>
      </c>
      <c r="B17" s="9" t="s">
        <v>267</v>
      </c>
      <c r="C17" s="10">
        <f t="shared" ca="1" si="2"/>
        <v>1314.7541582738165</v>
      </c>
      <c r="D17" s="10">
        <f t="shared" ca="1" si="2"/>
        <v>1828.4608827534114</v>
      </c>
      <c r="E17" s="10">
        <f t="shared" ca="1" si="2"/>
        <v>3236.4169388953437</v>
      </c>
      <c r="F17" s="285" t="str">
        <f t="shared" ca="1" si="3"/>
        <v/>
      </c>
      <c r="G17" s="287" t="str">
        <f t="shared" ref="G17:G22" ca="1" si="5">IF((-PMT(Annual_rate,$C$4,D27)+Annual_rate*D37+D47)=D17,"","Check")</f>
        <v/>
      </c>
      <c r="H17" s="287" t="str">
        <f t="shared" ca="1" si="4"/>
        <v/>
      </c>
      <c r="I17" s="12"/>
      <c r="J17" s="12"/>
      <c r="K17" s="39"/>
      <c r="N17" s="299"/>
    </row>
    <row r="18" spans="1:14" s="3" customFormat="1">
      <c r="A18" s="9" t="s">
        <v>268</v>
      </c>
      <c r="B18" s="9" t="s">
        <v>268</v>
      </c>
      <c r="C18" s="10">
        <f t="shared" ca="1" si="2"/>
        <v>1369.7265693059778</v>
      </c>
      <c r="D18" s="10">
        <f t="shared" ca="1" si="2"/>
        <v>1904.9123642493273</v>
      </c>
      <c r="E18" s="10">
        <f t="shared" ca="1" si="2"/>
        <v>3371.7377828088497</v>
      </c>
      <c r="F18" s="285" t="str">
        <f t="shared" ca="1" si="3"/>
        <v/>
      </c>
      <c r="G18" s="287" t="str">
        <f t="shared" ca="1" si="5"/>
        <v/>
      </c>
      <c r="H18" s="287" t="str">
        <f t="shared" ca="1" si="4"/>
        <v/>
      </c>
      <c r="I18" s="12"/>
      <c r="J18" s="12"/>
      <c r="K18" s="39"/>
    </row>
    <row r="19" spans="1:14" s="3" customFormat="1">
      <c r="A19" s="9" t="s">
        <v>269</v>
      </c>
      <c r="B19" s="9" t="s">
        <v>269</v>
      </c>
      <c r="C19" s="10">
        <f t="shared" ca="1" si="2"/>
        <v>1460.2383259559565</v>
      </c>
      <c r="D19" s="10">
        <f t="shared" ca="1" si="2"/>
        <v>2030.7892861227431</v>
      </c>
      <c r="E19" s="10">
        <f t="shared" ca="1" si="2"/>
        <v>3594.5427692374656</v>
      </c>
      <c r="F19" s="285" t="str">
        <f t="shared" ca="1" si="3"/>
        <v/>
      </c>
      <c r="G19" s="287" t="str">
        <f t="shared" ca="1" si="5"/>
        <v/>
      </c>
      <c r="H19" s="287" t="str">
        <f t="shared" ca="1" si="4"/>
        <v/>
      </c>
      <c r="I19" s="12"/>
      <c r="J19" s="12"/>
      <c r="K19" s="39"/>
    </row>
    <row r="20" spans="1:14" s="3" customFormat="1">
      <c r="A20" s="9" t="s">
        <v>270</v>
      </c>
      <c r="B20" s="9" t="s">
        <v>270</v>
      </c>
      <c r="C20" s="10">
        <f t="shared" ca="1" si="2"/>
        <v>1371.967783195493</v>
      </c>
      <c r="D20" s="10">
        <f t="shared" ca="1" si="2"/>
        <v>1908.0292754232325</v>
      </c>
      <c r="E20" s="10">
        <f t="shared" ca="1" si="2"/>
        <v>3377.2547857786199</v>
      </c>
      <c r="F20" s="285" t="str">
        <f t="shared" ca="1" si="3"/>
        <v/>
      </c>
      <c r="G20" s="287" t="str">
        <f t="shared" ca="1" si="5"/>
        <v/>
      </c>
      <c r="H20" s="287" t="str">
        <f t="shared" ca="1" si="4"/>
        <v/>
      </c>
      <c r="I20" s="12"/>
      <c r="J20" s="12"/>
      <c r="K20" s="39"/>
    </row>
    <row r="21" spans="1:14" s="3" customFormat="1">
      <c r="A21" s="9" t="s">
        <v>271</v>
      </c>
      <c r="B21" s="9" t="s">
        <v>271</v>
      </c>
      <c r="C21" s="10">
        <f t="shared" ca="1" si="2"/>
        <v>1414.490160211283</v>
      </c>
      <c r="D21" s="10">
        <f t="shared" ca="1" si="2"/>
        <v>1967.1661889867125</v>
      </c>
      <c r="E21" s="10">
        <f t="shared" ca="1" si="2"/>
        <v>3481.9284545325431</v>
      </c>
      <c r="F21" s="285" t="str">
        <f t="shared" ca="1" si="3"/>
        <v/>
      </c>
      <c r="G21" s="287" t="str">
        <f t="shared" ca="1" si="5"/>
        <v/>
      </c>
      <c r="H21" s="287" t="str">
        <f t="shared" ca="1" si="4"/>
        <v/>
      </c>
      <c r="I21" s="12"/>
      <c r="J21" s="12"/>
      <c r="K21" s="39"/>
    </row>
    <row r="22" spans="1:14" s="3" customFormat="1">
      <c r="A22" s="9" t="s">
        <v>272</v>
      </c>
      <c r="B22" s="9" t="s">
        <v>272</v>
      </c>
      <c r="C22" s="10">
        <f t="shared" ca="1" si="2"/>
        <v>1366.2546007124629</v>
      </c>
      <c r="D22" s="10">
        <f t="shared" ca="1" si="2"/>
        <v>1900.0838122957625</v>
      </c>
      <c r="E22" s="10">
        <f t="shared" ca="1" si="2"/>
        <v>3363.1911371134161</v>
      </c>
      <c r="F22" s="288" t="str">
        <f t="shared" ca="1" si="3"/>
        <v/>
      </c>
      <c r="G22" s="289" t="str">
        <f t="shared" ca="1" si="5"/>
        <v/>
      </c>
      <c r="H22" s="289" t="str">
        <f t="shared" ca="1" si="4"/>
        <v/>
      </c>
      <c r="I22" s="41"/>
      <c r="J22" s="41"/>
      <c r="K22" s="42"/>
    </row>
    <row r="23" spans="1:14" s="3" customFormat="1">
      <c r="B23" s="383"/>
      <c r="C23" s="384"/>
      <c r="D23" s="384"/>
      <c r="E23" s="384"/>
      <c r="F23" s="384"/>
      <c r="G23" s="384"/>
      <c r="H23" s="384"/>
      <c r="I23" s="384"/>
      <c r="J23" s="384"/>
      <c r="K23" s="385"/>
    </row>
    <row r="24" spans="1:14" s="3" customFormat="1">
      <c r="B24" s="4" t="s">
        <v>288</v>
      </c>
      <c r="C24" s="204" t="s">
        <v>207</v>
      </c>
      <c r="D24" s="204" t="s">
        <v>18</v>
      </c>
      <c r="E24" s="204" t="s">
        <v>208</v>
      </c>
      <c r="F24" s="388"/>
      <c r="G24" s="388"/>
      <c r="H24" s="388"/>
      <c r="I24" s="388"/>
      <c r="J24" s="388"/>
      <c r="K24" s="389"/>
    </row>
    <row r="25" spans="1:14" s="3" customFormat="1">
      <c r="A25" s="9" t="s">
        <v>57</v>
      </c>
      <c r="B25" s="7" t="s">
        <v>57</v>
      </c>
      <c r="C25" s="10">
        <f ca="1">(I$9+I$10)*INDIRECT(CONCATENATE($A25,"_IMPERVIOUS"))</f>
        <v>9215.0705299441506</v>
      </c>
      <c r="D25" s="10">
        <f ca="1">(J$9+J$10)*INDIRECT(CONCATENATE($A25,"_IMPERVIOUS"))</f>
        <v>13722.274206231741</v>
      </c>
      <c r="E25" s="10">
        <f ca="1">(K$9+K$10)*INDIRECT(CONCATENATE($A25,"_IMPERVIOUS"))</f>
        <v>25777.500477398207</v>
      </c>
      <c r="F25" s="388"/>
      <c r="G25" s="388"/>
      <c r="H25" s="388"/>
      <c r="I25" s="388"/>
      <c r="J25" s="388"/>
      <c r="K25" s="389"/>
    </row>
    <row r="26" spans="1:14" s="3" customFormat="1">
      <c r="A26" s="9" t="s">
        <v>266</v>
      </c>
      <c r="B26" s="9" t="s">
        <v>266</v>
      </c>
      <c r="C26" s="10">
        <f t="shared" ref="C26:C32" ca="1" si="6">(I$9+I$10)*INDIRECT(CONCATENATE($A26,"_IMPERVIOUS"))</f>
        <v>18254.138248538467</v>
      </c>
      <c r="D26" s="10">
        <f t="shared" ref="D26:D32" ca="1" si="7">(J$9+J$10)*INDIRECT(CONCATENATE($A26,"_IMPERVIOUS"))</f>
        <v>27182.460473954263</v>
      </c>
      <c r="E26" s="10">
        <f t="shared" ref="E26:E32" ca="1" si="8">(K$9+K$10)*INDIRECT(CONCATENATE($A26,"_IMPERVIOUS"))</f>
        <v>51062.664782343774</v>
      </c>
      <c r="F26" s="388"/>
      <c r="G26" s="388"/>
      <c r="H26" s="388"/>
      <c r="I26" s="388"/>
      <c r="J26" s="388"/>
      <c r="K26" s="389"/>
    </row>
    <row r="27" spans="1:14" s="3" customFormat="1">
      <c r="A27" s="9" t="s">
        <v>267</v>
      </c>
      <c r="B27" s="9" t="s">
        <v>267</v>
      </c>
      <c r="C27" s="10">
        <f t="shared" ca="1" si="6"/>
        <v>8658.497402637433</v>
      </c>
      <c r="D27" s="10">
        <f t="shared" ca="1" si="7"/>
        <v>12893.474356691249</v>
      </c>
      <c r="E27" s="10">
        <f t="shared" ca="1" si="8"/>
        <v>24220.587374211907</v>
      </c>
      <c r="F27" s="388"/>
      <c r="G27" s="388"/>
      <c r="H27" s="388"/>
      <c r="I27" s="388"/>
      <c r="J27" s="388"/>
      <c r="K27" s="389"/>
    </row>
    <row r="28" spans="1:14" s="3" customFormat="1">
      <c r="A28" s="9" t="s">
        <v>268</v>
      </c>
      <c r="B28" s="9" t="s">
        <v>268</v>
      </c>
      <c r="C28" s="10">
        <f t="shared" ca="1" si="6"/>
        <v>9020.5259044248796</v>
      </c>
      <c r="D28" s="10">
        <f t="shared" ca="1" si="7"/>
        <v>13432.575425517114</v>
      </c>
      <c r="E28" s="10">
        <f t="shared" ca="1" si="8"/>
        <v>25233.296918575455</v>
      </c>
      <c r="F28" s="388"/>
      <c r="G28" s="388"/>
      <c r="H28" s="388"/>
      <c r="I28" s="388"/>
      <c r="J28" s="388"/>
      <c r="K28" s="389"/>
    </row>
    <row r="29" spans="1:14" s="3" customFormat="1">
      <c r="A29" s="9" t="s">
        <v>269</v>
      </c>
      <c r="B29" s="9" t="s">
        <v>269</v>
      </c>
      <c r="C29" s="10">
        <f t="shared" ca="1" si="6"/>
        <v>9616.6037376305412</v>
      </c>
      <c r="D29" s="10">
        <f t="shared" ca="1" si="7"/>
        <v>14320.202215667588</v>
      </c>
      <c r="E29" s="10">
        <f t="shared" ca="1" si="8"/>
        <v>26900.717323020104</v>
      </c>
      <c r="F29" s="388"/>
      <c r="G29" s="388"/>
      <c r="H29" s="388"/>
      <c r="I29" s="388"/>
      <c r="J29" s="388"/>
      <c r="K29" s="389"/>
    </row>
    <row r="30" spans="1:14" s="3" customFormat="1">
      <c r="A30" s="9" t="s">
        <v>270</v>
      </c>
      <c r="B30" s="9" t="s">
        <v>270</v>
      </c>
      <c r="C30" s="10">
        <f t="shared" ca="1" si="6"/>
        <v>9035.2857319705854</v>
      </c>
      <c r="D30" s="10">
        <f t="shared" ca="1" si="7"/>
        <v>13454.554465195728</v>
      </c>
      <c r="E30" s="10">
        <f t="shared" ca="1" si="8"/>
        <v>25274.584878376674</v>
      </c>
      <c r="F30" s="388"/>
      <c r="G30" s="388"/>
      <c r="H30" s="388"/>
      <c r="I30" s="388"/>
      <c r="J30" s="388"/>
      <c r="K30" s="389"/>
    </row>
    <row r="31" spans="1:14" s="3" customFormat="1">
      <c r="A31" s="9" t="s">
        <v>271</v>
      </c>
      <c r="B31" s="9" t="s">
        <v>271</v>
      </c>
      <c r="C31" s="10">
        <f t="shared" ca="1" si="6"/>
        <v>9315.3227933696398</v>
      </c>
      <c r="D31" s="10">
        <f t="shared" ca="1" si="7"/>
        <v>13871.561077563834</v>
      </c>
      <c r="E31" s="10">
        <f t="shared" ca="1" si="8"/>
        <v>26057.938132206527</v>
      </c>
      <c r="F31" s="388"/>
      <c r="G31" s="388"/>
      <c r="H31" s="388"/>
      <c r="I31" s="388"/>
      <c r="J31" s="388"/>
      <c r="K31" s="389"/>
    </row>
    <row r="32" spans="1:14" s="3" customFormat="1">
      <c r="A32" s="9" t="s">
        <v>272</v>
      </c>
      <c r="B32" s="9" t="s">
        <v>272</v>
      </c>
      <c r="C32" s="10">
        <f t="shared" ca="1" si="6"/>
        <v>8997.660769631575</v>
      </c>
      <c r="D32" s="10">
        <f t="shared" ca="1" si="7"/>
        <v>13398.526673705979</v>
      </c>
      <c r="E32" s="10">
        <f t="shared" ca="1" si="8"/>
        <v>25169.335821247452</v>
      </c>
      <c r="F32" s="388"/>
      <c r="G32" s="388"/>
      <c r="H32" s="388"/>
      <c r="I32" s="388"/>
      <c r="J32" s="388"/>
      <c r="K32" s="389"/>
    </row>
    <row r="33" spans="1:11" s="3" customFormat="1">
      <c r="B33" s="383"/>
      <c r="C33" s="384"/>
      <c r="D33" s="384"/>
      <c r="E33" s="384"/>
      <c r="F33" s="384"/>
      <c r="G33" s="384"/>
      <c r="H33" s="384"/>
      <c r="I33" s="384"/>
      <c r="J33" s="384"/>
      <c r="K33" s="385"/>
    </row>
    <row r="34" spans="1:11" s="3" customFormat="1">
      <c r="B34" s="4" t="s">
        <v>475</v>
      </c>
      <c r="C34" s="262" t="s">
        <v>207</v>
      </c>
      <c r="D34" s="262" t="s">
        <v>18</v>
      </c>
      <c r="E34" s="262" t="s">
        <v>208</v>
      </c>
      <c r="F34" s="388"/>
      <c r="G34" s="388"/>
      <c r="H34" s="388"/>
      <c r="I34" s="388"/>
      <c r="J34" s="388"/>
      <c r="K34" s="389"/>
    </row>
    <row r="35" spans="1:11" s="3" customFormat="1">
      <c r="A35" s="9" t="s">
        <v>57</v>
      </c>
      <c r="B35" s="7" t="s">
        <v>57</v>
      </c>
      <c r="C35" s="10">
        <f t="shared" ref="C35:E42" ca="1" si="9">(Project_Acres_Developable*INDIRECT(CONCATENATE("LAND_COST_",$A35))*I$11)*INDIRECT(CONCATENATE($A35,"_IMPERVIOUS"))</f>
        <v>1294.5278735243085</v>
      </c>
      <c r="D35" s="10">
        <f t="shared" ca="1" si="9"/>
        <v>1294.5278735243085</v>
      </c>
      <c r="E35" s="10">
        <f t="shared" ca="1" si="9"/>
        <v>1294.5278735243085</v>
      </c>
      <c r="F35" s="388"/>
      <c r="G35" s="388"/>
      <c r="H35" s="388"/>
      <c r="I35" s="388"/>
      <c r="J35" s="388"/>
      <c r="K35" s="389"/>
    </row>
    <row r="36" spans="1:11" s="3" customFormat="1">
      <c r="A36" s="9" t="s">
        <v>266</v>
      </c>
      <c r="B36" s="9" t="s">
        <v>266</v>
      </c>
      <c r="C36" s="10">
        <f t="shared" ca="1" si="9"/>
        <v>2564.3309720867064</v>
      </c>
      <c r="D36" s="10">
        <f t="shared" ca="1" si="9"/>
        <v>2564.3309720867064</v>
      </c>
      <c r="E36" s="10">
        <f t="shared" ca="1" si="9"/>
        <v>2564.3309720867064</v>
      </c>
      <c r="F36" s="388"/>
      <c r="G36" s="388"/>
      <c r="H36" s="388"/>
      <c r="I36" s="388"/>
      <c r="J36" s="388"/>
      <c r="K36" s="389"/>
    </row>
    <row r="37" spans="1:11" s="3" customFormat="1">
      <c r="A37" s="9" t="s">
        <v>267</v>
      </c>
      <c r="B37" s="9" t="s">
        <v>267</v>
      </c>
      <c r="C37" s="10">
        <f t="shared" ca="1" si="9"/>
        <v>1216.3407967556723</v>
      </c>
      <c r="D37" s="10">
        <f t="shared" ca="1" si="9"/>
        <v>1216.3407967556723</v>
      </c>
      <c r="E37" s="10">
        <f t="shared" ca="1" si="9"/>
        <v>1216.3407967556723</v>
      </c>
      <c r="F37" s="388"/>
      <c r="G37" s="388"/>
      <c r="H37" s="388"/>
      <c r="I37" s="388"/>
      <c r="J37" s="388"/>
      <c r="K37" s="389"/>
    </row>
    <row r="38" spans="1:11" s="3" customFormat="1">
      <c r="A38" s="9" t="s">
        <v>268</v>
      </c>
      <c r="B38" s="9" t="s">
        <v>268</v>
      </c>
      <c r="C38" s="10">
        <f t="shared" ca="1" si="9"/>
        <v>1267.1983550403547</v>
      </c>
      <c r="D38" s="10">
        <f t="shared" ca="1" si="9"/>
        <v>1267.1983550403547</v>
      </c>
      <c r="E38" s="10">
        <f t="shared" ca="1" si="9"/>
        <v>1267.1983550403547</v>
      </c>
      <c r="F38" s="388"/>
      <c r="G38" s="388"/>
      <c r="H38" s="388"/>
      <c r="I38" s="388"/>
      <c r="J38" s="388"/>
      <c r="K38" s="389"/>
    </row>
    <row r="39" spans="1:11" s="3" customFormat="1">
      <c r="A39" s="9" t="s">
        <v>269</v>
      </c>
      <c r="B39" s="9" t="s">
        <v>269</v>
      </c>
      <c r="C39" s="10">
        <f t="shared" ca="1" si="9"/>
        <v>1350.9350304534489</v>
      </c>
      <c r="D39" s="10">
        <f t="shared" ca="1" si="9"/>
        <v>1350.9350304534489</v>
      </c>
      <c r="E39" s="10">
        <f t="shared" ca="1" si="9"/>
        <v>1350.9350304534489</v>
      </c>
      <c r="F39" s="388"/>
      <c r="G39" s="388"/>
      <c r="H39" s="388"/>
      <c r="I39" s="388"/>
      <c r="J39" s="388"/>
      <c r="K39" s="389"/>
    </row>
    <row r="40" spans="1:11" s="3" customFormat="1">
      <c r="A40" s="9" t="s">
        <v>270</v>
      </c>
      <c r="B40" s="9" t="s">
        <v>270</v>
      </c>
      <c r="C40" s="10">
        <f t="shared" ca="1" si="9"/>
        <v>1269.2718072298135</v>
      </c>
      <c r="D40" s="10">
        <f t="shared" ca="1" si="9"/>
        <v>1269.2718072298135</v>
      </c>
      <c r="E40" s="10">
        <f t="shared" ca="1" si="9"/>
        <v>1269.2718072298135</v>
      </c>
      <c r="F40" s="388"/>
      <c r="G40" s="388"/>
      <c r="H40" s="388"/>
      <c r="I40" s="388"/>
      <c r="J40" s="388"/>
      <c r="K40" s="389"/>
    </row>
    <row r="41" spans="1:11" s="3" customFormat="1">
      <c r="A41" s="9" t="s">
        <v>271</v>
      </c>
      <c r="B41" s="9" t="s">
        <v>271</v>
      </c>
      <c r="C41" s="10">
        <f t="shared" ca="1" si="9"/>
        <v>1308.6112545430954</v>
      </c>
      <c r="D41" s="10">
        <f t="shared" ca="1" si="9"/>
        <v>1308.6112545430954</v>
      </c>
      <c r="E41" s="10">
        <f t="shared" ca="1" si="9"/>
        <v>1308.6112545430954</v>
      </c>
      <c r="F41" s="388"/>
      <c r="G41" s="388"/>
      <c r="H41" s="388"/>
      <c r="I41" s="388"/>
      <c r="J41" s="388"/>
      <c r="K41" s="389"/>
    </row>
    <row r="42" spans="1:11" s="3" customFormat="1">
      <c r="A42" s="9" t="s">
        <v>272</v>
      </c>
      <c r="B42" s="9" t="s">
        <v>272</v>
      </c>
      <c r="C42" s="10">
        <f t="shared" ca="1" si="9"/>
        <v>1263.9862738928866</v>
      </c>
      <c r="D42" s="10">
        <f t="shared" ca="1" si="9"/>
        <v>1263.9862738928866</v>
      </c>
      <c r="E42" s="10">
        <f t="shared" ca="1" si="9"/>
        <v>1263.9862738928866</v>
      </c>
      <c r="F42" s="388"/>
      <c r="G42" s="388"/>
      <c r="H42" s="388"/>
      <c r="I42" s="388"/>
      <c r="J42" s="388"/>
      <c r="K42" s="389"/>
    </row>
    <row r="43" spans="1:11" s="3" customFormat="1">
      <c r="B43" s="383"/>
      <c r="C43" s="384"/>
      <c r="D43" s="384"/>
      <c r="E43" s="384"/>
      <c r="F43" s="384"/>
      <c r="G43" s="384"/>
      <c r="H43" s="384"/>
      <c r="I43" s="384"/>
      <c r="J43" s="384"/>
      <c r="K43" s="385"/>
    </row>
    <row r="44" spans="1:11" s="3" customFormat="1">
      <c r="B44" s="4" t="s">
        <v>476</v>
      </c>
      <c r="C44" s="204" t="s">
        <v>207</v>
      </c>
      <c r="D44" s="204" t="s">
        <v>18</v>
      </c>
      <c r="E44" s="204" t="s">
        <v>208</v>
      </c>
      <c r="F44" s="388"/>
      <c r="G44" s="388"/>
      <c r="H44" s="388"/>
      <c r="I44" s="388"/>
      <c r="J44" s="388"/>
      <c r="K44" s="389"/>
    </row>
    <row r="45" spans="1:11" s="3" customFormat="1">
      <c r="A45" s="9" t="s">
        <v>57</v>
      </c>
      <c r="B45" s="7" t="s">
        <v>57</v>
      </c>
      <c r="C45" s="10">
        <f ca="1">I$12*INDIRECT(CONCATENATE($A45,"_IMPERVIOUS"))</f>
        <v>438.8128823782929</v>
      </c>
      <c r="D45" s="10">
        <f t="shared" ref="D45:E45" ca="1" si="10">J$12*INDIRECT(CONCATENATE($A45,"_IMPERVIOUS"))</f>
        <v>560.09282474415272</v>
      </c>
      <c r="E45" s="10">
        <f t="shared" ca="1" si="10"/>
        <v>920.62501704993599</v>
      </c>
      <c r="F45" s="388"/>
      <c r="G45" s="388"/>
      <c r="H45" s="388"/>
      <c r="I45" s="388"/>
      <c r="J45" s="388"/>
      <c r="K45" s="389"/>
    </row>
    <row r="46" spans="1:11" s="3" customFormat="1">
      <c r="A46" s="9" t="s">
        <v>266</v>
      </c>
      <c r="B46" s="9" t="s">
        <v>266</v>
      </c>
      <c r="C46" s="10">
        <f t="shared" ref="C46:C52" ca="1" si="11">I$12*INDIRECT(CONCATENATE($A46,"_IMPERVIOUS"))</f>
        <v>869.2446785018318</v>
      </c>
      <c r="D46" s="10">
        <f t="shared" ref="D46:D52" ca="1" si="12">J$12*INDIRECT(CONCATENATE($A46,"_IMPERVIOUS"))</f>
        <v>1109.4881826103781</v>
      </c>
      <c r="E46" s="10">
        <f t="shared" ref="E46:E52" ca="1" si="13">K$12*INDIRECT(CONCATENATE($A46,"_IMPERVIOUS"))</f>
        <v>1823.6665993694205</v>
      </c>
      <c r="F46" s="388"/>
      <c r="G46" s="388"/>
      <c r="H46" s="388"/>
      <c r="I46" s="388"/>
      <c r="J46" s="388"/>
      <c r="K46" s="389"/>
    </row>
    <row r="47" spans="1:11" s="3" customFormat="1">
      <c r="A47" s="9" t="s">
        <v>267</v>
      </c>
      <c r="B47" s="9" t="s">
        <v>267</v>
      </c>
      <c r="C47" s="10">
        <f t="shared" ca="1" si="11"/>
        <v>412.30940012559199</v>
      </c>
      <c r="D47" s="10">
        <f t="shared" ca="1" si="12"/>
        <v>526.26425945678568</v>
      </c>
      <c r="E47" s="10">
        <f t="shared" ca="1" si="13"/>
        <v>865.02097765042527</v>
      </c>
      <c r="F47" s="388"/>
      <c r="G47" s="388"/>
      <c r="H47" s="388"/>
      <c r="I47" s="388"/>
      <c r="J47" s="388"/>
      <c r="K47" s="389"/>
    </row>
    <row r="48" spans="1:11" s="3" customFormat="1">
      <c r="A48" s="9" t="s">
        <v>268</v>
      </c>
      <c r="B48" s="9" t="s">
        <v>268</v>
      </c>
      <c r="C48" s="10">
        <f t="shared" ca="1" si="11"/>
        <v>429.54885259166093</v>
      </c>
      <c r="D48" s="10">
        <f t="shared" ca="1" si="12"/>
        <v>548.26838471498422</v>
      </c>
      <c r="E48" s="10">
        <f t="shared" ca="1" si="13"/>
        <v>901.18917566340917</v>
      </c>
      <c r="F48" s="388"/>
      <c r="G48" s="388"/>
      <c r="H48" s="388"/>
      <c r="I48" s="388"/>
      <c r="J48" s="388"/>
      <c r="K48" s="389"/>
    </row>
    <row r="49" spans="1:11" s="3" customFormat="1">
      <c r="A49" s="9" t="s">
        <v>269</v>
      </c>
      <c r="B49" s="9" t="s">
        <v>269</v>
      </c>
      <c r="C49" s="10">
        <f t="shared" ca="1" si="11"/>
        <v>457.93351131574008</v>
      </c>
      <c r="D49" s="10">
        <f t="shared" ca="1" si="12"/>
        <v>584.49804961908524</v>
      </c>
      <c r="E49" s="10">
        <f t="shared" ca="1" si="13"/>
        <v>960.7399043935751</v>
      </c>
      <c r="F49" s="388"/>
      <c r="G49" s="388"/>
      <c r="H49" s="388"/>
      <c r="I49" s="388"/>
      <c r="J49" s="388"/>
      <c r="K49" s="389"/>
    </row>
    <row r="50" spans="1:11" s="3" customFormat="1">
      <c r="A50" s="9" t="s">
        <v>270</v>
      </c>
      <c r="B50" s="9" t="s">
        <v>270</v>
      </c>
      <c r="C50" s="10">
        <f t="shared" ca="1" si="11"/>
        <v>430.25170152240884</v>
      </c>
      <c r="D50" s="10">
        <f t="shared" ca="1" si="12"/>
        <v>549.16548837533583</v>
      </c>
      <c r="E50" s="10">
        <f t="shared" ca="1" si="13"/>
        <v>902.66374565630986</v>
      </c>
      <c r="F50" s="388"/>
      <c r="G50" s="388"/>
      <c r="H50" s="388"/>
      <c r="I50" s="388"/>
      <c r="J50" s="388"/>
      <c r="K50" s="389"/>
    </row>
    <row r="51" spans="1:11" s="3" customFormat="1">
      <c r="A51" s="9" t="s">
        <v>271</v>
      </c>
      <c r="B51" s="9" t="s">
        <v>271</v>
      </c>
      <c r="C51" s="10">
        <f t="shared" ca="1" si="11"/>
        <v>443.58679968426861</v>
      </c>
      <c r="D51" s="10">
        <f t="shared" ca="1" si="12"/>
        <v>566.18616643117696</v>
      </c>
      <c r="E51" s="10">
        <f t="shared" ca="1" si="13"/>
        <v>930.64064757880453</v>
      </c>
      <c r="F51" s="388"/>
      <c r="G51" s="388"/>
      <c r="H51" s="388"/>
      <c r="I51" s="388"/>
      <c r="J51" s="388"/>
      <c r="K51" s="389"/>
    </row>
    <row r="52" spans="1:11" s="3" customFormat="1">
      <c r="A52" s="9" t="s">
        <v>272</v>
      </c>
      <c r="B52" s="9" t="s">
        <v>272</v>
      </c>
      <c r="C52" s="10">
        <f t="shared" ca="1" si="11"/>
        <v>428.46003664912269</v>
      </c>
      <c r="D52" s="10">
        <f t="shared" ca="1" si="12"/>
        <v>546.87863974310119</v>
      </c>
      <c r="E52" s="10">
        <f t="shared" ca="1" si="13"/>
        <v>898.9048507588376</v>
      </c>
      <c r="F52" s="388"/>
      <c r="G52" s="388"/>
      <c r="H52" s="388"/>
      <c r="I52" s="388"/>
      <c r="J52" s="388"/>
      <c r="K52" s="389"/>
    </row>
    <row r="53" spans="1:11" s="3" customFormat="1">
      <c r="B53" s="387" t="s">
        <v>242</v>
      </c>
      <c r="C53" s="388"/>
      <c r="D53" s="388"/>
      <c r="E53" s="388"/>
      <c r="F53" s="388"/>
      <c r="G53" s="388"/>
      <c r="H53" s="388"/>
      <c r="I53" s="388"/>
      <c r="J53" s="388"/>
      <c r="K53" s="389"/>
    </row>
    <row r="54" spans="1:11" s="3" customFormat="1">
      <c r="B54" s="377" t="s">
        <v>336</v>
      </c>
      <c r="C54" s="378"/>
      <c r="D54" s="378"/>
      <c r="E54" s="378"/>
      <c r="F54" s="378"/>
      <c r="G54" s="378"/>
      <c r="H54" s="378"/>
      <c r="I54" s="378"/>
      <c r="J54" s="378"/>
      <c r="K54" s="379"/>
    </row>
    <row r="55" spans="1:11" s="3" customFormat="1" ht="15.75" thickBot="1">
      <c r="B55" s="380" t="s">
        <v>273</v>
      </c>
      <c r="C55" s="381"/>
      <c r="D55" s="381"/>
      <c r="E55" s="381"/>
      <c r="F55" s="381"/>
      <c r="G55" s="381"/>
      <c r="H55" s="381"/>
      <c r="I55" s="381"/>
      <c r="J55" s="381"/>
      <c r="K55" s="382"/>
    </row>
    <row r="56" spans="1:11" s="3" customFormat="1">
      <c r="B56" s="13"/>
      <c r="C56" s="13"/>
      <c r="D56" s="13"/>
      <c r="E56" s="13"/>
      <c r="F56" s="13"/>
      <c r="G56" s="13"/>
      <c r="H56" s="13"/>
      <c r="I56" s="13"/>
      <c r="J56" s="13"/>
      <c r="K56" s="13"/>
    </row>
  </sheetData>
  <mergeCells count="18">
    <mergeCell ref="F24:K32"/>
    <mergeCell ref="B33:K33"/>
    <mergeCell ref="B55:K55"/>
    <mergeCell ref="B53:K53"/>
    <mergeCell ref="F34:K42"/>
    <mergeCell ref="B43:K43"/>
    <mergeCell ref="B1:K1"/>
    <mergeCell ref="B3:K3"/>
    <mergeCell ref="B2:K2"/>
    <mergeCell ref="B13:K13"/>
    <mergeCell ref="I6:K6"/>
    <mergeCell ref="B6:B7"/>
    <mergeCell ref="C6:E6"/>
    <mergeCell ref="F6:H6"/>
    <mergeCell ref="B54:K54"/>
    <mergeCell ref="F44:K52"/>
    <mergeCell ref="D4:K5"/>
    <mergeCell ref="B23:K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155</vt:i4>
      </vt:variant>
    </vt:vector>
  </HeadingPairs>
  <TitlesOfParts>
    <vt:vector size="178" baseType="lpstr">
      <vt:lpstr>READ ME</vt:lpstr>
      <vt:lpstr>BMPs Summary</vt:lpstr>
      <vt:lpstr>Assumptions</vt:lpstr>
      <vt:lpstr>Dry Ext Detention</vt:lpstr>
      <vt:lpstr>Dry Detention-Hydro Structures</vt:lpstr>
      <vt:lpstr>Erosion and Sediment Control</vt:lpstr>
      <vt:lpstr>Filtering Practices</vt:lpstr>
      <vt:lpstr>Wetlands-Wet Ponds</vt:lpstr>
      <vt:lpstr>Infiltration</vt:lpstr>
      <vt:lpstr>Nutrient Mgmt</vt:lpstr>
      <vt:lpstr>Tree Planting</vt:lpstr>
      <vt:lpstr>Growth Red</vt:lpstr>
      <vt:lpstr>Stream Restoration</vt:lpstr>
      <vt:lpstr>Forest Buffers</vt:lpstr>
      <vt:lpstr>Grass Buffers</vt:lpstr>
      <vt:lpstr>Street Sweeping</vt:lpstr>
      <vt:lpstr>Impervious Surface Reduc</vt:lpstr>
      <vt:lpstr>Forest Conservation</vt:lpstr>
      <vt:lpstr>Retrofit SW Mgmt</vt:lpstr>
      <vt:lpstr>Vegetated Channel</vt:lpstr>
      <vt:lpstr>Bioretention</vt:lpstr>
      <vt:lpstr>Bioswale</vt:lpstr>
      <vt:lpstr>CSO Separation</vt:lpstr>
      <vt:lpstr>A</vt:lpstr>
      <vt:lpstr>Annual_rate</vt:lpstr>
      <vt:lpstr>BIORETENTION</vt:lpstr>
      <vt:lpstr>BIOSWALE</vt:lpstr>
      <vt:lpstr>CCI_1990</vt:lpstr>
      <vt:lpstr>CCI_1991</vt:lpstr>
      <vt:lpstr>CCI_1992</vt:lpstr>
      <vt:lpstr>CCI_1993</vt:lpstr>
      <vt:lpstr>CCI_1994</vt:lpstr>
      <vt:lpstr>CCI_1995</vt:lpstr>
      <vt:lpstr>CCI_1996</vt:lpstr>
      <vt:lpstr>CCI_1997</vt:lpstr>
      <vt:lpstr>CCI_1998</vt:lpstr>
      <vt:lpstr>CCI_1999</vt:lpstr>
      <vt:lpstr>CCI_2000</vt:lpstr>
      <vt:lpstr>CCI_2001</vt:lpstr>
      <vt:lpstr>CCI_2002</vt:lpstr>
      <vt:lpstr>CCI_2003</vt:lpstr>
      <vt:lpstr>CCI_2004</vt:lpstr>
      <vt:lpstr>CCI_2005</vt:lpstr>
      <vt:lpstr>CCI_2006</vt:lpstr>
      <vt:lpstr>CCI_2007</vt:lpstr>
      <vt:lpstr>CCI_2008</vt:lpstr>
      <vt:lpstr>CCI_2009</vt:lpstr>
      <vt:lpstr>CCI_2010</vt:lpstr>
      <vt:lpstr>CSO_Separation</vt:lpstr>
      <vt:lpstr>DC_Impervious</vt:lpstr>
      <vt:lpstr>DDPHS_DC</vt:lpstr>
      <vt:lpstr>DDPHS_DE</vt:lpstr>
      <vt:lpstr>DDPHS_MD</vt:lpstr>
      <vt:lpstr>DDPHS_NY</vt:lpstr>
      <vt:lpstr>DDPHS_PA</vt:lpstr>
      <vt:lpstr>DDPHS_VA</vt:lpstr>
      <vt:lpstr>DDPHS_Watershed</vt:lpstr>
      <vt:lpstr>DDPHS_WV</vt:lpstr>
      <vt:lpstr>DE_Impervious</vt:lpstr>
      <vt:lpstr>DRY_DETENTION</vt:lpstr>
      <vt:lpstr>FEET_IMPAC</vt:lpstr>
      <vt:lpstr>FILTERING</vt:lpstr>
      <vt:lpstr>HIGH_DE</vt:lpstr>
      <vt:lpstr>HIGH_OM</vt:lpstr>
      <vt:lpstr>IMPERVIOUS</vt:lpstr>
      <vt:lpstr>INFILTRATION</vt:lpstr>
      <vt:lpstr>Land_Cost_DC</vt:lpstr>
      <vt:lpstr>Land_Cost_DE</vt:lpstr>
      <vt:lpstr>Land_Cost_MD</vt:lpstr>
      <vt:lpstr>Land_Cost_NY</vt:lpstr>
      <vt:lpstr>Land_Cost_PA</vt:lpstr>
      <vt:lpstr>Land_Cost_VA</vt:lpstr>
      <vt:lpstr>Land_Cost_Watershed</vt:lpstr>
      <vt:lpstr>Land_Cost_WV</vt:lpstr>
      <vt:lpstr>LOW_DE</vt:lpstr>
      <vt:lpstr>LOW_OM</vt:lpstr>
      <vt:lpstr>MD_Impervious</vt:lpstr>
      <vt:lpstr>MED_OM</vt:lpstr>
      <vt:lpstr>MID_DE</vt:lpstr>
      <vt:lpstr>NY_Impervious</vt:lpstr>
      <vt:lpstr>OM_High</vt:lpstr>
      <vt:lpstr>OM_High_2</vt:lpstr>
      <vt:lpstr>OM_Intermittent_High</vt:lpstr>
      <vt:lpstr>OM_Intermittent_Low</vt:lpstr>
      <vt:lpstr>OM_Intermittent_Med</vt:lpstr>
      <vt:lpstr>OM_Low</vt:lpstr>
      <vt:lpstr>OM_Low_2</vt:lpstr>
      <vt:lpstr>OM_Low_3</vt:lpstr>
      <vt:lpstr>OM_Low_4</vt:lpstr>
      <vt:lpstr>OM_Low_5</vt:lpstr>
      <vt:lpstr>OM_MED</vt:lpstr>
      <vt:lpstr>PA_Impervious</vt:lpstr>
      <vt:lpstr>Pre_Construction_Cost_1</vt:lpstr>
      <vt:lpstr>Pre_Construction_Cost_2</vt:lpstr>
      <vt:lpstr>Pre_Construction_Cost_3</vt:lpstr>
      <vt:lpstr>Pre_Construction_Cost_4</vt:lpstr>
      <vt:lpstr>Pre_Construction_Cost_5</vt:lpstr>
      <vt:lpstr>Pre_Construction_Cost_6</vt:lpstr>
      <vt:lpstr>Project_Acres_Developable</vt:lpstr>
      <vt:lpstr>RSWM_Cap_MD</vt:lpstr>
      <vt:lpstr>RSWM_Land_MD</vt:lpstr>
      <vt:lpstr>RSWM_MD</vt:lpstr>
      <vt:lpstr>RSWM_OM_MD</vt:lpstr>
      <vt:lpstr>SS_Watershed</vt:lpstr>
      <vt:lpstr>TP_Cap_DE</vt:lpstr>
      <vt:lpstr>TP_Cap_MD</vt:lpstr>
      <vt:lpstr>TP_Cap_PA</vt:lpstr>
      <vt:lpstr>TP_Cap_VA</vt:lpstr>
      <vt:lpstr>TP_Cap_Watershed</vt:lpstr>
      <vt:lpstr>TP_Cap_WV</vt:lpstr>
      <vt:lpstr>TP_DE</vt:lpstr>
      <vt:lpstr>TP_MD</vt:lpstr>
      <vt:lpstr>TP_PA</vt:lpstr>
      <vt:lpstr>TP_VA</vt:lpstr>
      <vt:lpstr>TP_Watershed</vt:lpstr>
      <vt:lpstr>TP_WV</vt:lpstr>
      <vt:lpstr>UESC_DC</vt:lpstr>
      <vt:lpstr>UESC_DE</vt:lpstr>
      <vt:lpstr>UESC_MD</vt:lpstr>
      <vt:lpstr>UESC_NY</vt:lpstr>
      <vt:lpstr>UESC_PA</vt:lpstr>
      <vt:lpstr>UESC_VA</vt:lpstr>
      <vt:lpstr>UESC_Watershed</vt:lpstr>
      <vt:lpstr>UESC_WV</vt:lpstr>
      <vt:lpstr>UFB_Cap_DE</vt:lpstr>
      <vt:lpstr>UFB_Cap_MD</vt:lpstr>
      <vt:lpstr>UFB_Cap_NY</vt:lpstr>
      <vt:lpstr>UFB_Cap_PA</vt:lpstr>
      <vt:lpstr>UFB_Cap_VA</vt:lpstr>
      <vt:lpstr>UFB_Cap_Watershed</vt:lpstr>
      <vt:lpstr>UFB_DE</vt:lpstr>
      <vt:lpstr>UFB_MD</vt:lpstr>
      <vt:lpstr>UFB_NY</vt:lpstr>
      <vt:lpstr>UFB_OM_DE</vt:lpstr>
      <vt:lpstr>UFB_OM_MD</vt:lpstr>
      <vt:lpstr>UFB_OM_NY</vt:lpstr>
      <vt:lpstr>UFB_OM_PA</vt:lpstr>
      <vt:lpstr>UFB_OM_VA</vt:lpstr>
      <vt:lpstr>UFB_OM_Watershed</vt:lpstr>
      <vt:lpstr>UFB_PA</vt:lpstr>
      <vt:lpstr>UFB_VA</vt:lpstr>
      <vt:lpstr>UFB_Watershed</vt:lpstr>
      <vt:lpstr>UGB_Cap_DE</vt:lpstr>
      <vt:lpstr>UGB_Cap_MD</vt:lpstr>
      <vt:lpstr>UGB_Cap_NY</vt:lpstr>
      <vt:lpstr>UGB_Cap_PA</vt:lpstr>
      <vt:lpstr>UGB_Cap_VA</vt:lpstr>
      <vt:lpstr>UGB_Cap_Watershed</vt:lpstr>
      <vt:lpstr>UGB_Cap_WV</vt:lpstr>
      <vt:lpstr>UGB_DE</vt:lpstr>
      <vt:lpstr>UGB_MD</vt:lpstr>
      <vt:lpstr>UGB_NY</vt:lpstr>
      <vt:lpstr>UGB_OM_DE</vt:lpstr>
      <vt:lpstr>UGB_OM_MD</vt:lpstr>
      <vt:lpstr>UGB_OM_NY</vt:lpstr>
      <vt:lpstr>UGB_OM_PA</vt:lpstr>
      <vt:lpstr>UGB_OM_VA</vt:lpstr>
      <vt:lpstr>UGB_OM_Watershed</vt:lpstr>
      <vt:lpstr>UGB_OM_WV</vt:lpstr>
      <vt:lpstr>UGB_PA</vt:lpstr>
      <vt:lpstr>UGB_VA</vt:lpstr>
      <vt:lpstr>UGB_Watershed</vt:lpstr>
      <vt:lpstr>UGB_WV</vt:lpstr>
      <vt:lpstr>UGR_Watershed</vt:lpstr>
      <vt:lpstr>UNM_Watershed</vt:lpstr>
      <vt:lpstr>USR_Watershed</vt:lpstr>
      <vt:lpstr>VA_Impervious</vt:lpstr>
      <vt:lpstr>VOC_DC</vt:lpstr>
      <vt:lpstr>VOC_DE</vt:lpstr>
      <vt:lpstr>VOC_MD</vt:lpstr>
      <vt:lpstr>VOC_NY</vt:lpstr>
      <vt:lpstr>VOC_PA</vt:lpstr>
      <vt:lpstr>VOC_VA</vt:lpstr>
      <vt:lpstr>VOC_Watershed</vt:lpstr>
      <vt:lpstr>VOC_WV</vt:lpstr>
      <vt:lpstr>Watershed_Impervious</vt:lpstr>
      <vt:lpstr>WETLANDS</vt:lpstr>
      <vt:lpstr>WV_Impervious</vt:lpstr>
    </vt:vector>
  </TitlesOfParts>
  <Company>Abt Associates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Praesel</dc:creator>
  <cp:lastModifiedBy>mharrington</cp:lastModifiedBy>
  <dcterms:created xsi:type="dcterms:W3CDTF">2011-07-11T14:09:29Z</dcterms:created>
  <dcterms:modified xsi:type="dcterms:W3CDTF">2012-06-12T13:36:45Z</dcterms:modified>
</cp:coreProperties>
</file>