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cotting\Downloads\"/>
    </mc:Choice>
  </mc:AlternateContent>
  <workbookProtection workbookAlgorithmName="SHA-512" workbookHashValue="zYPbtX4M5am9DcP4xZJMAdBXAHiZxKeY8xr96XAM/y0MUEi2CeohTVtaNue9411HEa/V9369rJ6v3orzLAoI/Q==" workbookSaltValue="h0eSzhVXZRvT4nqtv7B/Dg==" workbookSpinCount="100000" lockStructure="1"/>
  <bookViews>
    <workbookView xWindow="0" yWindow="0" windowWidth="19200" windowHeight="11145" activeTab="3"/>
  </bookViews>
  <sheets>
    <sheet name="Overview" sheetId="28" r:id="rId1"/>
    <sheet name="O&amp;M Dashboard #1" sheetId="27" r:id="rId2"/>
    <sheet name="O&amp;M Dashboard #2" sheetId="23" r:id="rId3"/>
    <sheet name="O&amp;M Dashboard #3" sheetId="26" r:id="rId4"/>
    <sheet name="VLookup" sheetId="21" state="hidden" r:id="rId5"/>
    <sheet name="Sheet5" sheetId="25" state="hidden" r:id="rId6"/>
    <sheet name="Labor Data by Jurisdiction" sheetId="20" state="hidden" r:id="rId7"/>
    <sheet name="Regional Staffing Costs" sheetId="19" state="hidden" r:id="rId8"/>
    <sheet name="IMPLAN by BMP" sheetId="18" state="hidden" r:id="rId9"/>
    <sheet name="Master Cost to Industries" sheetId="9" state="hidden" r:id="rId10"/>
    <sheet name="Region Run" sheetId="17" state="hidden" r:id="rId11"/>
    <sheet name="County WIP Input to IMPLAN" sheetId="13" state="hidden" r:id="rId12"/>
    <sheet name="Shen Urban WIP by Industries" sheetId="8" state="hidden" r:id="rId13"/>
    <sheet name="Page Urban WIP by Industrie (2" sheetId="16" state="hidden" r:id="rId14"/>
    <sheet name="Opequon TMDL by Industries" sheetId="15" state="hidden" r:id="rId15"/>
    <sheet name="Opequon total TMDL Budget" sheetId="14" state="hidden" r:id="rId16"/>
    <sheet name="EFC Industry Matrix" sheetId="12" state="hidden" r:id="rId17"/>
    <sheet name="Sheet4" sheetId="11" state="hidden" r:id="rId18"/>
    <sheet name="Sheet3" sheetId="10" state="hidden" r:id="rId19"/>
    <sheet name="SW v Total" sheetId="7" state="hidden" r:id="rId20"/>
    <sheet name="SW BMP Short Name" sheetId="6" state="hidden" r:id="rId21"/>
    <sheet name="LanduseBmps" sheetId="2" state="hidden" r:id="rId22"/>
    <sheet name="AnimalBmps" sheetId="3" state="hidden" r:id="rId23"/>
    <sheet name="SepticBmps" sheetId="4" state="hidden" r:id="rId24"/>
    <sheet name="ManureTransport" sheetId="5" state="hidden" r:id="rId25"/>
  </sheets>
  <externalReferences>
    <externalReference r:id="rId26"/>
  </externalReferences>
  <definedNames>
    <definedName name="_xlnm.Print_Area" localSheetId="6">'Labor Data by Jurisdiction'!$D$3:$BA$29</definedName>
    <definedName name="_xlnm.Print_Area" localSheetId="14">'Opequon TMDL by Industries'!$A$6:$C$23</definedName>
    <definedName name="_xlnm.Print_Area" localSheetId="13">'Page Urban WIP by Industrie (2'!$A$6:$C$25</definedName>
    <definedName name="_xlnm.Print_Area" localSheetId="18">Sheet3!$A$1:$B$31</definedName>
    <definedName name="_xlnm.Print_Area" localSheetId="12">'Shen Urban WIP by Industries'!$A$6:$C$20</definedName>
  </definedNames>
  <calcPr calcId="162913" concurrentCalc="0"/>
</workbook>
</file>

<file path=xl/calcChain.xml><?xml version="1.0" encoding="utf-8"?>
<calcChain xmlns="http://schemas.openxmlformats.org/spreadsheetml/2006/main">
  <c r="E20" i="27" l="1"/>
  <c r="E19" i="27"/>
  <c r="E18" i="27"/>
  <c r="E17" i="27"/>
  <c r="E16" i="27"/>
  <c r="E15" i="27"/>
  <c r="E14" i="27"/>
  <c r="E13" i="27"/>
  <c r="E12" i="27"/>
  <c r="E11" i="27"/>
  <c r="E10" i="27"/>
  <c r="H13" i="26"/>
  <c r="M13" i="26"/>
  <c r="I13" i="26"/>
  <c r="N13" i="26"/>
  <c r="H14" i="26"/>
  <c r="M14" i="26"/>
  <c r="I14" i="26"/>
  <c r="N14" i="26"/>
  <c r="H15" i="26"/>
  <c r="M15" i="26"/>
  <c r="I15" i="26"/>
  <c r="N15" i="26"/>
  <c r="H16" i="26"/>
  <c r="M16" i="26"/>
  <c r="I16" i="26"/>
  <c r="N16" i="26"/>
  <c r="H17" i="26"/>
  <c r="M17" i="26"/>
  <c r="I17" i="26"/>
  <c r="N17" i="26"/>
  <c r="H18" i="26"/>
  <c r="M18" i="26"/>
  <c r="I18" i="26"/>
  <c r="N18" i="26"/>
  <c r="H19" i="26"/>
  <c r="M19" i="26"/>
  <c r="I19" i="26"/>
  <c r="N19" i="26"/>
  <c r="H20" i="26"/>
  <c r="M20" i="26"/>
  <c r="I20" i="26"/>
  <c r="N20" i="26"/>
  <c r="H21" i="26"/>
  <c r="M21" i="26"/>
  <c r="I21" i="26"/>
  <c r="N21" i="26"/>
  <c r="H22" i="26"/>
  <c r="M22" i="26"/>
  <c r="I22" i="26"/>
  <c r="N22" i="26"/>
  <c r="I12" i="26"/>
  <c r="N12" i="26"/>
  <c r="H12" i="26"/>
  <c r="M12" i="26"/>
  <c r="F10" i="26"/>
  <c r="E10" i="26"/>
  <c r="G12" i="26"/>
  <c r="G13" i="26"/>
  <c r="D11" i="23"/>
  <c r="E13" i="23"/>
  <c r="B13" i="23"/>
  <c r="E11" i="23"/>
  <c r="E12" i="23"/>
  <c r="E9" i="23"/>
  <c r="B11" i="23"/>
  <c r="B12" i="23"/>
  <c r="B9" i="23"/>
  <c r="J13" i="26"/>
  <c r="O13" i="26"/>
  <c r="G14" i="26"/>
  <c r="J12" i="26"/>
  <c r="M10" i="26"/>
  <c r="O12" i="26"/>
  <c r="N10" i="26"/>
  <c r="B14" i="23"/>
  <c r="E14" i="23"/>
  <c r="E8" i="21"/>
  <c r="G15" i="26"/>
  <c r="J14" i="26"/>
  <c r="E18" i="21"/>
  <c r="E17" i="21"/>
  <c r="E16" i="21"/>
  <c r="E15" i="21"/>
  <c r="E14" i="21"/>
  <c r="E13" i="21"/>
  <c r="E12" i="21"/>
  <c r="E11" i="21"/>
  <c r="E10" i="21"/>
  <c r="E9" i="21"/>
  <c r="O14" i="26"/>
  <c r="J15" i="26"/>
  <c r="O15" i="26"/>
  <c r="G16" i="26"/>
  <c r="AY27" i="20"/>
  <c r="G17" i="26"/>
  <c r="J16" i="26"/>
  <c r="AE14" i="19"/>
  <c r="AK14" i="19"/>
  <c r="AQ15" i="19"/>
  <c r="AX16" i="20"/>
  <c r="AN15" i="19"/>
  <c r="AT16" i="20"/>
  <c r="AK15" i="19"/>
  <c r="AP16" i="20"/>
  <c r="AH15" i="19"/>
  <c r="AL16" i="20"/>
  <c r="AE15" i="19"/>
  <c r="AH16" i="20"/>
  <c r="AD16" i="20"/>
  <c r="O16" i="26"/>
  <c r="G18" i="26"/>
  <c r="J17" i="26"/>
  <c r="O17" i="26"/>
  <c r="O7" i="20"/>
  <c r="O22" i="20"/>
  <c r="O16" i="20"/>
  <c r="AQ22" i="19"/>
  <c r="AX23" i="20"/>
  <c r="AN22" i="19"/>
  <c r="AT23" i="20"/>
  <c r="AK22" i="19"/>
  <c r="AP23" i="20"/>
  <c r="AH22" i="19"/>
  <c r="AL23" i="20"/>
  <c r="AE22" i="19"/>
  <c r="AH23" i="20"/>
  <c r="AB22" i="19"/>
  <c r="AD23" i="20"/>
  <c r="AN20" i="19"/>
  <c r="AT21" i="20"/>
  <c r="AK20" i="19"/>
  <c r="AP21" i="20"/>
  <c r="AH20" i="19"/>
  <c r="AL21" i="20"/>
  <c r="AE20" i="19"/>
  <c r="AH21" i="20"/>
  <c r="AB20" i="19"/>
  <c r="AD21" i="20"/>
  <c r="AQ18" i="19"/>
  <c r="AX18" i="20"/>
  <c r="AN18" i="19"/>
  <c r="AT18" i="20"/>
  <c r="AK18" i="19"/>
  <c r="AP18" i="20"/>
  <c r="AH18" i="19"/>
  <c r="AL18" i="20"/>
  <c r="AE18" i="19"/>
  <c r="AH18" i="20"/>
  <c r="AB18" i="19"/>
  <c r="AD18" i="20"/>
  <c r="AQ14" i="19"/>
  <c r="AX15" i="20"/>
  <c r="AN14" i="19"/>
  <c r="AT15" i="20"/>
  <c r="AP15" i="20"/>
  <c r="AH14" i="19"/>
  <c r="AL15" i="20"/>
  <c r="AH15" i="20"/>
  <c r="AB14" i="19"/>
  <c r="AD15" i="20"/>
  <c r="AQ10" i="19"/>
  <c r="AX11" i="20"/>
  <c r="AQ9" i="19"/>
  <c r="AX10" i="20"/>
  <c r="AQ8" i="19"/>
  <c r="AX9" i="20"/>
  <c r="AN10" i="19"/>
  <c r="AT11" i="20"/>
  <c r="AN9" i="19"/>
  <c r="AT10" i="20"/>
  <c r="AN8" i="19"/>
  <c r="AT9" i="20"/>
  <c r="AP11" i="20"/>
  <c r="AK9" i="19"/>
  <c r="AP10" i="20"/>
  <c r="AK8" i="19"/>
  <c r="AP9" i="20"/>
  <c r="AH10" i="19"/>
  <c r="AL11" i="20"/>
  <c r="AH9" i="19"/>
  <c r="AL10" i="20"/>
  <c r="AH8" i="19"/>
  <c r="AL9" i="20"/>
  <c r="AE10" i="19"/>
  <c r="AH11" i="20"/>
  <c r="AE9" i="19"/>
  <c r="AH10" i="20"/>
  <c r="AE8" i="19"/>
  <c r="AH9" i="20"/>
  <c r="AF12" i="20"/>
  <c r="AF13" i="20"/>
  <c r="AF16" i="20"/>
  <c r="AF17" i="20"/>
  <c r="AF20" i="20"/>
  <c r="AF24" i="20"/>
  <c r="AD11" i="20"/>
  <c r="AB9" i="19"/>
  <c r="AD10" i="20"/>
  <c r="AB8" i="19"/>
  <c r="AD9" i="20"/>
  <c r="AQ20" i="19"/>
  <c r="G19" i="26"/>
  <c r="J18" i="26"/>
  <c r="O18" i="26"/>
  <c r="O15" i="20"/>
  <c r="AF15" i="20"/>
  <c r="AG15" i="20"/>
  <c r="AG12" i="20"/>
  <c r="AC13" i="20"/>
  <c r="A13" i="20"/>
  <c r="AC17" i="20"/>
  <c r="A17" i="20"/>
  <c r="AC24" i="20"/>
  <c r="A24" i="20"/>
  <c r="AG13" i="20"/>
  <c r="AG16" i="20"/>
  <c r="AG17" i="20"/>
  <c r="AG20" i="20"/>
  <c r="AG24" i="20"/>
  <c r="AZ12" i="20"/>
  <c r="BA12" i="20"/>
  <c r="AZ13" i="20"/>
  <c r="BA13" i="20"/>
  <c r="AZ16" i="20"/>
  <c r="BA16" i="20"/>
  <c r="AZ17" i="20"/>
  <c r="BA17" i="20"/>
  <c r="AZ20" i="20"/>
  <c r="BA20" i="20"/>
  <c r="AZ24" i="20"/>
  <c r="BA24" i="20"/>
  <c r="BB25" i="20"/>
  <c r="AX25" i="20"/>
  <c r="AT25" i="20"/>
  <c r="AP25" i="20"/>
  <c r="AL25" i="20"/>
  <c r="AH25" i="20"/>
  <c r="AD25" i="20"/>
  <c r="AA25" i="20"/>
  <c r="X25" i="20"/>
  <c r="V25" i="20"/>
  <c r="U25" i="20"/>
  <c r="T25" i="20"/>
  <c r="P25" i="20"/>
  <c r="O25" i="20"/>
  <c r="L25" i="20"/>
  <c r="I25" i="20"/>
  <c r="H25" i="20"/>
  <c r="W25" i="20"/>
  <c r="BE24" i="20"/>
  <c r="BG24" i="20"/>
  <c r="BD24" i="20"/>
  <c r="BC24" i="20"/>
  <c r="AV24" i="20"/>
  <c r="AW24" i="20"/>
  <c r="AU24" i="20"/>
  <c r="AR24" i="20"/>
  <c r="AS24" i="20"/>
  <c r="AQ24" i="20"/>
  <c r="AN24" i="20"/>
  <c r="AO24" i="20"/>
  <c r="AM24" i="20"/>
  <c r="AJ24" i="20"/>
  <c r="AK24" i="20"/>
  <c r="AI24" i="20"/>
  <c r="AE24" i="20"/>
  <c r="AB24" i="20"/>
  <c r="Y24" i="20"/>
  <c r="X24" i="20"/>
  <c r="V24" i="20"/>
  <c r="U24" i="20"/>
  <c r="T24" i="20"/>
  <c r="L24" i="20"/>
  <c r="I24" i="20"/>
  <c r="H24" i="20"/>
  <c r="W24" i="20"/>
  <c r="BB23" i="20"/>
  <c r="BC23" i="20"/>
  <c r="AU23" i="20"/>
  <c r="AQ23" i="20"/>
  <c r="AM23" i="20"/>
  <c r="AI23" i="20"/>
  <c r="AE23" i="20"/>
  <c r="AA23" i="20"/>
  <c r="O23" i="20"/>
  <c r="AC23" i="20"/>
  <c r="A23" i="20"/>
  <c r="X23" i="20"/>
  <c r="V23" i="20"/>
  <c r="U23" i="20"/>
  <c r="T23" i="20"/>
  <c r="P23" i="20"/>
  <c r="L23" i="20"/>
  <c r="I23" i="20"/>
  <c r="H23" i="20"/>
  <c r="W23" i="20"/>
  <c r="BB22" i="20"/>
  <c r="BC22" i="20"/>
  <c r="AX22" i="20"/>
  <c r="AT22" i="20"/>
  <c r="AU22" i="20"/>
  <c r="AP22" i="20"/>
  <c r="AQ22" i="20"/>
  <c r="AL22" i="20"/>
  <c r="AH22" i="20"/>
  <c r="AD22" i="20"/>
  <c r="AA22" i="20"/>
  <c r="AB22" i="20"/>
  <c r="V22" i="20"/>
  <c r="T22" i="20"/>
  <c r="L22" i="20"/>
  <c r="I22" i="20"/>
  <c r="H22" i="20"/>
  <c r="BB21" i="20"/>
  <c r="BC21" i="20"/>
  <c r="AU21" i="20"/>
  <c r="AQ21" i="20"/>
  <c r="AM21" i="20"/>
  <c r="AI21" i="20"/>
  <c r="AE21" i="20"/>
  <c r="AA21" i="20"/>
  <c r="V21" i="20"/>
  <c r="T21" i="20"/>
  <c r="P21" i="20"/>
  <c r="O21" i="20"/>
  <c r="L21" i="20"/>
  <c r="I21" i="20"/>
  <c r="H21" i="20"/>
  <c r="BB20" i="20"/>
  <c r="BD20" i="20"/>
  <c r="AV20" i="20"/>
  <c r="AW20" i="20"/>
  <c r="AU20" i="20"/>
  <c r="AR20" i="20"/>
  <c r="AS20" i="20"/>
  <c r="AQ20" i="20"/>
  <c r="AN20" i="20"/>
  <c r="AO20" i="20"/>
  <c r="AM20" i="20"/>
  <c r="AJ20" i="20"/>
  <c r="AK20" i="20"/>
  <c r="AI20" i="20"/>
  <c r="AE20" i="20"/>
  <c r="AA20" i="20"/>
  <c r="AC20" i="20"/>
  <c r="A20" i="20"/>
  <c r="V20" i="20"/>
  <c r="T20" i="20"/>
  <c r="L20" i="20"/>
  <c r="I20" i="20"/>
  <c r="H20" i="20"/>
  <c r="BE19" i="20"/>
  <c r="BF19" i="20"/>
  <c r="BC19" i="20"/>
  <c r="AU19" i="20"/>
  <c r="AQ19" i="20"/>
  <c r="AM19" i="20"/>
  <c r="AI19" i="20"/>
  <c r="AE19" i="20"/>
  <c r="AB19" i="20"/>
  <c r="X19" i="20"/>
  <c r="V19" i="20"/>
  <c r="U19" i="20"/>
  <c r="T19" i="20"/>
  <c r="P19" i="20"/>
  <c r="O19" i="20"/>
  <c r="AF19" i="20"/>
  <c r="AG19" i="20"/>
  <c r="L19" i="20"/>
  <c r="I19" i="20"/>
  <c r="H19" i="20"/>
  <c r="W19" i="20"/>
  <c r="BB18" i="20"/>
  <c r="BC18" i="20"/>
  <c r="AU18" i="20"/>
  <c r="AQ18" i="20"/>
  <c r="AM18" i="20"/>
  <c r="AI18" i="20"/>
  <c r="AE18" i="20"/>
  <c r="AA18" i="20"/>
  <c r="O18" i="20"/>
  <c r="AC18" i="20"/>
  <c r="A18" i="20"/>
  <c r="X18" i="20"/>
  <c r="V18" i="20"/>
  <c r="U18" i="20"/>
  <c r="T18" i="20"/>
  <c r="P18" i="20"/>
  <c r="L18" i="20"/>
  <c r="I18" i="20"/>
  <c r="H18" i="20"/>
  <c r="W18" i="20"/>
  <c r="BE17" i="20"/>
  <c r="BG17" i="20"/>
  <c r="BD17" i="20"/>
  <c r="BC17" i="20"/>
  <c r="AV17" i="20"/>
  <c r="AW17" i="20"/>
  <c r="AU17" i="20"/>
  <c r="AR17" i="20"/>
  <c r="AS17" i="20"/>
  <c r="AQ17" i="20"/>
  <c r="AN17" i="20"/>
  <c r="AO17" i="20"/>
  <c r="AM17" i="20"/>
  <c r="AJ17" i="20"/>
  <c r="AK17" i="20"/>
  <c r="AI17" i="20"/>
  <c r="AE17" i="20"/>
  <c r="AB17" i="20"/>
  <c r="Y17" i="20"/>
  <c r="X17" i="20"/>
  <c r="V17" i="20"/>
  <c r="U17" i="20"/>
  <c r="T17" i="20"/>
  <c r="L17" i="20"/>
  <c r="I17" i="20"/>
  <c r="H17" i="20"/>
  <c r="W17" i="20"/>
  <c r="BB16" i="20"/>
  <c r="BC16" i="20"/>
  <c r="AV16" i="20"/>
  <c r="AW16" i="20"/>
  <c r="AU16" i="20"/>
  <c r="AR16" i="20"/>
  <c r="AS16" i="20"/>
  <c r="AQ16" i="20"/>
  <c r="AN16" i="20"/>
  <c r="AO16" i="20"/>
  <c r="AM16" i="20"/>
  <c r="AJ16" i="20"/>
  <c r="AK16" i="20"/>
  <c r="AI16" i="20"/>
  <c r="AE16" i="20"/>
  <c r="AA16" i="20"/>
  <c r="AC16" i="20"/>
  <c r="A16" i="20"/>
  <c r="Y16" i="20"/>
  <c r="X16" i="20"/>
  <c r="V16" i="20"/>
  <c r="U16" i="20"/>
  <c r="T16" i="20"/>
  <c r="L16" i="20"/>
  <c r="I16" i="20"/>
  <c r="H16" i="20"/>
  <c r="W16" i="20"/>
  <c r="BB15" i="20"/>
  <c r="BC15" i="20"/>
  <c r="AU15" i="20"/>
  <c r="AQ15" i="20"/>
  <c r="AM15" i="20"/>
  <c r="AI15" i="20"/>
  <c r="AE15" i="20"/>
  <c r="AA15" i="20"/>
  <c r="AC15" i="20"/>
  <c r="A15" i="20"/>
  <c r="X15" i="20"/>
  <c r="V15" i="20"/>
  <c r="U15" i="20"/>
  <c r="T15" i="20"/>
  <c r="P15" i="20"/>
  <c r="Y15" i="20"/>
  <c r="L15" i="20"/>
  <c r="I15" i="20"/>
  <c r="H15" i="20"/>
  <c r="W15" i="20"/>
  <c r="BB14" i="20"/>
  <c r="BC14" i="20"/>
  <c r="AX14" i="20"/>
  <c r="AT14" i="20"/>
  <c r="AP14" i="20"/>
  <c r="AL14" i="20"/>
  <c r="AH14" i="20"/>
  <c r="AI14" i="20"/>
  <c r="AD14" i="20"/>
  <c r="AA14" i="20"/>
  <c r="V14" i="20"/>
  <c r="T14" i="20"/>
  <c r="P14" i="20"/>
  <c r="O14" i="20"/>
  <c r="L14" i="20"/>
  <c r="I14" i="20"/>
  <c r="BE13" i="20"/>
  <c r="BD13" i="20"/>
  <c r="BC13" i="20"/>
  <c r="AV13" i="20"/>
  <c r="AW13" i="20"/>
  <c r="AU13" i="20"/>
  <c r="AR13" i="20"/>
  <c r="AS13" i="20"/>
  <c r="AQ13" i="20"/>
  <c r="AN13" i="20"/>
  <c r="AO13" i="20"/>
  <c r="AM13" i="20"/>
  <c r="AJ13" i="20"/>
  <c r="AK13" i="20"/>
  <c r="AI13" i="20"/>
  <c r="AE13" i="20"/>
  <c r="AB13" i="20"/>
  <c r="Y13" i="20"/>
  <c r="X13" i="20"/>
  <c r="W13" i="20"/>
  <c r="V13" i="20"/>
  <c r="U13" i="20"/>
  <c r="T13" i="20"/>
  <c r="L13" i="20"/>
  <c r="I13" i="20"/>
  <c r="BB12" i="20"/>
  <c r="AV12" i="20"/>
  <c r="AW12" i="20"/>
  <c r="AU12" i="20"/>
  <c r="AR12" i="20"/>
  <c r="AS12" i="20"/>
  <c r="AQ12" i="20"/>
  <c r="AN12" i="20"/>
  <c r="AO12" i="20"/>
  <c r="AM12" i="20"/>
  <c r="AJ12" i="20"/>
  <c r="AK12" i="20"/>
  <c r="AI12" i="20"/>
  <c r="AE12" i="20"/>
  <c r="AA12" i="20"/>
  <c r="AC12" i="20"/>
  <c r="A12" i="20"/>
  <c r="Y12" i="20"/>
  <c r="X12" i="20"/>
  <c r="W12" i="20"/>
  <c r="V12" i="20"/>
  <c r="U12" i="20"/>
  <c r="T12" i="20"/>
  <c r="L12" i="20"/>
  <c r="I12" i="20"/>
  <c r="BB11" i="20"/>
  <c r="BC11" i="20"/>
  <c r="AU11" i="20"/>
  <c r="AQ11" i="20"/>
  <c r="AM11" i="20"/>
  <c r="AI11" i="20"/>
  <c r="AE11" i="20"/>
  <c r="AA11" i="20"/>
  <c r="V11" i="20"/>
  <c r="T11" i="20"/>
  <c r="P11" i="20"/>
  <c r="O11" i="20"/>
  <c r="L11" i="20"/>
  <c r="I11" i="20"/>
  <c r="BB10" i="20"/>
  <c r="BC10" i="20"/>
  <c r="AU10" i="20"/>
  <c r="AQ10" i="20"/>
  <c r="AM10" i="20"/>
  <c r="AI10" i="20"/>
  <c r="AE10" i="20"/>
  <c r="AA10" i="20"/>
  <c r="O10" i="20"/>
  <c r="AC10" i="20"/>
  <c r="A10" i="20"/>
  <c r="X10" i="20"/>
  <c r="V10" i="20"/>
  <c r="U10" i="20"/>
  <c r="T10" i="20"/>
  <c r="P10" i="20"/>
  <c r="AV10" i="20"/>
  <c r="AW10" i="20"/>
  <c r="K10" i="20"/>
  <c r="J10" i="20"/>
  <c r="I10" i="20"/>
  <c r="H10" i="20"/>
  <c r="W10" i="20"/>
  <c r="BB9" i="20"/>
  <c r="BC9" i="20"/>
  <c r="AU9" i="20"/>
  <c r="AQ9" i="20"/>
  <c r="AM9" i="20"/>
  <c r="AI9" i="20"/>
  <c r="AE9" i="20"/>
  <c r="AA9" i="20"/>
  <c r="O9" i="20"/>
  <c r="AC9" i="20"/>
  <c r="A9" i="20"/>
  <c r="X9" i="20"/>
  <c r="V9" i="20"/>
  <c r="U9" i="20"/>
  <c r="T9" i="20"/>
  <c r="P9" i="20"/>
  <c r="AV9" i="20"/>
  <c r="AW9" i="20"/>
  <c r="K9" i="20"/>
  <c r="J9" i="20"/>
  <c r="I9" i="20"/>
  <c r="H9" i="20"/>
  <c r="W9" i="20"/>
  <c r="BB8" i="20"/>
  <c r="BC8" i="20"/>
  <c r="AU8" i="20"/>
  <c r="AQ8" i="20"/>
  <c r="AM8" i="20"/>
  <c r="AI8" i="20"/>
  <c r="AE8" i="20"/>
  <c r="AA8" i="20"/>
  <c r="X8" i="20"/>
  <c r="V8" i="20"/>
  <c r="U8" i="20"/>
  <c r="T8" i="20"/>
  <c r="P8" i="20"/>
  <c r="O8" i="20"/>
  <c r="K8" i="20"/>
  <c r="J8" i="20"/>
  <c r="I8" i="20"/>
  <c r="H8" i="20"/>
  <c r="W8" i="20"/>
  <c r="BB7" i="20"/>
  <c r="BC7" i="20"/>
  <c r="AX7" i="20"/>
  <c r="AT7" i="20"/>
  <c r="AP7" i="20"/>
  <c r="AL7" i="20"/>
  <c r="AM7" i="20"/>
  <c r="AH7" i="20"/>
  <c r="AI7" i="20"/>
  <c r="AD7" i="20"/>
  <c r="AA7" i="20"/>
  <c r="X7" i="20"/>
  <c r="V7" i="20"/>
  <c r="U7" i="20"/>
  <c r="T7" i="20"/>
  <c r="P7" i="20"/>
  <c r="Y7" i="20"/>
  <c r="K7" i="20"/>
  <c r="J7" i="20"/>
  <c r="I7" i="20"/>
  <c r="H7" i="20"/>
  <c r="W7" i="20"/>
  <c r="X6" i="20"/>
  <c r="V6" i="20"/>
  <c r="U6" i="20"/>
  <c r="T6" i="20"/>
  <c r="P6" i="20"/>
  <c r="O6" i="20"/>
  <c r="Y6" i="20"/>
  <c r="K6" i="20"/>
  <c r="J6" i="20"/>
  <c r="I6" i="20"/>
  <c r="H6" i="20"/>
  <c r="W6" i="20"/>
  <c r="AU12" i="19"/>
  <c r="AV12" i="19"/>
  <c r="AU16" i="19"/>
  <c r="AV16" i="19"/>
  <c r="AU18" i="19"/>
  <c r="M18" i="19"/>
  <c r="AV18" i="19"/>
  <c r="AU23" i="19"/>
  <c r="AV23" i="19"/>
  <c r="M6" i="19"/>
  <c r="M21" i="19"/>
  <c r="AO7" i="19"/>
  <c r="M7" i="19"/>
  <c r="AP7" i="19"/>
  <c r="AO8" i="19"/>
  <c r="M8" i="19"/>
  <c r="AP8" i="19"/>
  <c r="AO9" i="19"/>
  <c r="M9" i="19"/>
  <c r="AP9" i="19"/>
  <c r="AO10" i="19"/>
  <c r="M10" i="19"/>
  <c r="AP10" i="19"/>
  <c r="AO11" i="19"/>
  <c r="AP11" i="19"/>
  <c r="AO12" i="19"/>
  <c r="AP12" i="19"/>
  <c r="AO14" i="19"/>
  <c r="M14" i="19"/>
  <c r="AP14" i="19"/>
  <c r="AO15" i="19"/>
  <c r="AP15" i="19"/>
  <c r="AO16" i="19"/>
  <c r="AP16" i="19"/>
  <c r="AO17" i="19"/>
  <c r="M17" i="19"/>
  <c r="AP17" i="19"/>
  <c r="AO18" i="19"/>
  <c r="AP18" i="19"/>
  <c r="AO19" i="19"/>
  <c r="AP19" i="19"/>
  <c r="AO20" i="19"/>
  <c r="M20" i="19"/>
  <c r="AP20" i="19"/>
  <c r="AO22" i="19"/>
  <c r="M22" i="19"/>
  <c r="AP22" i="19"/>
  <c r="AO23" i="19"/>
  <c r="AP23" i="19"/>
  <c r="AL7" i="19"/>
  <c r="AM7" i="19"/>
  <c r="AL8" i="19"/>
  <c r="AM8" i="19"/>
  <c r="AL9" i="19"/>
  <c r="AM9" i="19"/>
  <c r="AL10" i="19"/>
  <c r="AM10" i="19"/>
  <c r="AL11" i="19"/>
  <c r="AM11" i="19"/>
  <c r="AL12" i="19"/>
  <c r="AM12" i="19"/>
  <c r="AL14" i="19"/>
  <c r="AM14" i="19"/>
  <c r="AL15" i="19"/>
  <c r="AM15" i="19"/>
  <c r="AL16" i="19"/>
  <c r="AM16" i="19"/>
  <c r="AL17" i="19"/>
  <c r="AM17" i="19"/>
  <c r="AL18" i="19"/>
  <c r="AM18" i="19"/>
  <c r="AL19" i="19"/>
  <c r="AM19" i="19"/>
  <c r="AL20" i="19"/>
  <c r="AM20" i="19"/>
  <c r="AL22" i="19"/>
  <c r="AM22" i="19"/>
  <c r="AL23" i="19"/>
  <c r="AM23" i="19"/>
  <c r="AI7" i="19"/>
  <c r="AJ7" i="19"/>
  <c r="AI8" i="19"/>
  <c r="AJ8" i="19"/>
  <c r="AI9" i="19"/>
  <c r="AJ9" i="19"/>
  <c r="AI10" i="19"/>
  <c r="AJ10" i="19"/>
  <c r="AI11" i="19"/>
  <c r="AJ11" i="19"/>
  <c r="AI12" i="19"/>
  <c r="AJ12" i="19"/>
  <c r="AI14" i="19"/>
  <c r="AJ14" i="19"/>
  <c r="AI15" i="19"/>
  <c r="AJ15" i="19"/>
  <c r="AI16" i="19"/>
  <c r="AJ16" i="19"/>
  <c r="AI17" i="19"/>
  <c r="AJ17" i="19"/>
  <c r="AI18" i="19"/>
  <c r="AJ18" i="19"/>
  <c r="AI19" i="19"/>
  <c r="AJ19" i="19"/>
  <c r="AI20" i="19"/>
  <c r="AJ20" i="19"/>
  <c r="AI22" i="19"/>
  <c r="AJ22" i="19"/>
  <c r="AI23" i="19"/>
  <c r="AJ23" i="19"/>
  <c r="AF7" i="19"/>
  <c r="AG7" i="19"/>
  <c r="AF8" i="19"/>
  <c r="AG8" i="19"/>
  <c r="AF9" i="19"/>
  <c r="AG9" i="19"/>
  <c r="AF10" i="19"/>
  <c r="AG10" i="19"/>
  <c r="AF11" i="19"/>
  <c r="AG11" i="19"/>
  <c r="AF12" i="19"/>
  <c r="AG12" i="19"/>
  <c r="AF14" i="19"/>
  <c r="AG14" i="19"/>
  <c r="AF15" i="19"/>
  <c r="AG15" i="19"/>
  <c r="AF16" i="19"/>
  <c r="AG16" i="19"/>
  <c r="AF17" i="19"/>
  <c r="AG17" i="19"/>
  <c r="AF18" i="19"/>
  <c r="AG18" i="19"/>
  <c r="AF19" i="19"/>
  <c r="AG19" i="19"/>
  <c r="AF20" i="19"/>
  <c r="AG20" i="19"/>
  <c r="AF22" i="19"/>
  <c r="AG22" i="19"/>
  <c r="AF23" i="19"/>
  <c r="AG23" i="19"/>
  <c r="AC7" i="19"/>
  <c r="AD7" i="19"/>
  <c r="AC8" i="19"/>
  <c r="AD8" i="19"/>
  <c r="AC9" i="19"/>
  <c r="AD9" i="19"/>
  <c r="AC10" i="19"/>
  <c r="AD10" i="19"/>
  <c r="AC11" i="19"/>
  <c r="AD11" i="19"/>
  <c r="AC12" i="19"/>
  <c r="AD12" i="19"/>
  <c r="AC14" i="19"/>
  <c r="AD14" i="19"/>
  <c r="AC15" i="19"/>
  <c r="AD15" i="19"/>
  <c r="AC16" i="19"/>
  <c r="AD16" i="19"/>
  <c r="AC17" i="19"/>
  <c r="AD17" i="19"/>
  <c r="AC18" i="19"/>
  <c r="AD18" i="19"/>
  <c r="AC19" i="19"/>
  <c r="AD19" i="19"/>
  <c r="AC20" i="19"/>
  <c r="AD20" i="19"/>
  <c r="AC22" i="19"/>
  <c r="AD22" i="19"/>
  <c r="AC23" i="19"/>
  <c r="AD23" i="19"/>
  <c r="Z12" i="19"/>
  <c r="AA12" i="19"/>
  <c r="Z16" i="19"/>
  <c r="AA16" i="19"/>
  <c r="Z23" i="19"/>
  <c r="AA23" i="19"/>
  <c r="AQ24" i="19"/>
  <c r="AN24" i="19"/>
  <c r="AO24" i="19"/>
  <c r="AK24" i="19"/>
  <c r="AL24" i="19"/>
  <c r="AH24" i="19"/>
  <c r="AI24" i="19"/>
  <c r="AE24" i="19"/>
  <c r="AF24" i="19"/>
  <c r="AB24" i="19"/>
  <c r="AC24" i="19"/>
  <c r="AT24" i="19"/>
  <c r="AU24" i="19"/>
  <c r="Y24" i="19"/>
  <c r="V24" i="19"/>
  <c r="T24" i="19"/>
  <c r="S24" i="19"/>
  <c r="R24" i="19"/>
  <c r="N24" i="19"/>
  <c r="M24" i="19"/>
  <c r="W24" i="19"/>
  <c r="J24" i="19"/>
  <c r="G24" i="19"/>
  <c r="F24" i="19"/>
  <c r="U24" i="19"/>
  <c r="AW23" i="19"/>
  <c r="AX23" i="19"/>
  <c r="W23" i="19"/>
  <c r="V23" i="19"/>
  <c r="T23" i="19"/>
  <c r="S23" i="19"/>
  <c r="R23" i="19"/>
  <c r="J23" i="19"/>
  <c r="G23" i="19"/>
  <c r="F23" i="19"/>
  <c r="U23" i="19"/>
  <c r="AT22" i="19"/>
  <c r="AU22" i="19"/>
  <c r="Y22" i="19"/>
  <c r="V22" i="19"/>
  <c r="T22" i="19"/>
  <c r="S22" i="19"/>
  <c r="R22" i="19"/>
  <c r="N22" i="19"/>
  <c r="W22" i="19"/>
  <c r="J22" i="19"/>
  <c r="G22" i="19"/>
  <c r="F22" i="19"/>
  <c r="U22" i="19"/>
  <c r="AQ21" i="19"/>
  <c r="AN21" i="19"/>
  <c r="AO21" i="19"/>
  <c r="AK21" i="19"/>
  <c r="AL21" i="19"/>
  <c r="AH21" i="19"/>
  <c r="AI21" i="19"/>
  <c r="AE21" i="19"/>
  <c r="AF21" i="19"/>
  <c r="AB21" i="19"/>
  <c r="AC21" i="19"/>
  <c r="AT21" i="19"/>
  <c r="AU21" i="19"/>
  <c r="Y21" i="19"/>
  <c r="AA21" i="19"/>
  <c r="T21" i="19"/>
  <c r="R21" i="19"/>
  <c r="J21" i="19"/>
  <c r="G21" i="19"/>
  <c r="F21" i="19"/>
  <c r="AT20" i="19"/>
  <c r="AU20" i="19"/>
  <c r="Y20" i="19"/>
  <c r="T20" i="19"/>
  <c r="R20" i="19"/>
  <c r="N20" i="19"/>
  <c r="J20" i="19"/>
  <c r="G20" i="19"/>
  <c r="F20" i="19"/>
  <c r="AT19" i="19"/>
  <c r="AU19" i="19"/>
  <c r="Y19" i="19"/>
  <c r="T19" i="19"/>
  <c r="R19" i="19"/>
  <c r="J19" i="19"/>
  <c r="G19" i="19"/>
  <c r="F19" i="19"/>
  <c r="AW18" i="19"/>
  <c r="AX18" i="19"/>
  <c r="W18" i="19"/>
  <c r="V18" i="19"/>
  <c r="T18" i="19"/>
  <c r="S18" i="19"/>
  <c r="R18" i="19"/>
  <c r="N18" i="19"/>
  <c r="J18" i="19"/>
  <c r="G18" i="19"/>
  <c r="F18" i="19"/>
  <c r="U18" i="19"/>
  <c r="AT17" i="19"/>
  <c r="AU17" i="19"/>
  <c r="Y18" i="19"/>
  <c r="V17" i="19"/>
  <c r="T17" i="19"/>
  <c r="S17" i="19"/>
  <c r="R17" i="19"/>
  <c r="N17" i="19"/>
  <c r="W17" i="19"/>
  <c r="J17" i="19"/>
  <c r="G17" i="19"/>
  <c r="F17" i="19"/>
  <c r="U17" i="19"/>
  <c r="AW16" i="19"/>
  <c r="AX16" i="19"/>
  <c r="W16" i="19"/>
  <c r="V16" i="19"/>
  <c r="F16" i="19"/>
  <c r="U16" i="19"/>
  <c r="T16" i="19"/>
  <c r="S16" i="19"/>
  <c r="R16" i="19"/>
  <c r="J16" i="19"/>
  <c r="G16" i="19"/>
  <c r="AT15" i="19"/>
  <c r="AU15" i="19"/>
  <c r="Y15" i="19"/>
  <c r="W15" i="19"/>
  <c r="V15" i="19"/>
  <c r="F15" i="19"/>
  <c r="U15" i="19"/>
  <c r="T15" i="19"/>
  <c r="S15" i="19"/>
  <c r="R15" i="19"/>
  <c r="J15" i="19"/>
  <c r="G15" i="19"/>
  <c r="AT14" i="19"/>
  <c r="AV14" i="19"/>
  <c r="Y14" i="19"/>
  <c r="Z14" i="19"/>
  <c r="V14" i="19"/>
  <c r="T14" i="19"/>
  <c r="S14" i="19"/>
  <c r="R14" i="19"/>
  <c r="N14" i="19"/>
  <c r="W14" i="19"/>
  <c r="J14" i="19"/>
  <c r="G14" i="19"/>
  <c r="F14" i="19"/>
  <c r="U14" i="19"/>
  <c r="AQ13" i="19"/>
  <c r="AN13" i="19"/>
  <c r="AO13" i="19"/>
  <c r="AK13" i="19"/>
  <c r="AL13" i="19"/>
  <c r="AH13" i="19"/>
  <c r="AI13" i="19"/>
  <c r="AE13" i="19"/>
  <c r="AF13" i="19"/>
  <c r="AB13" i="19"/>
  <c r="AC13" i="19"/>
  <c r="AT13" i="19"/>
  <c r="AU13" i="19"/>
  <c r="Y13" i="19"/>
  <c r="T13" i="19"/>
  <c r="R13" i="19"/>
  <c r="N13" i="19"/>
  <c r="M13" i="19"/>
  <c r="J13" i="19"/>
  <c r="G13" i="19"/>
  <c r="AW12" i="19"/>
  <c r="AX12" i="19"/>
  <c r="W12" i="19"/>
  <c r="V12" i="19"/>
  <c r="U12" i="19"/>
  <c r="T12" i="19"/>
  <c r="S12" i="19"/>
  <c r="R12" i="19"/>
  <c r="J12" i="19"/>
  <c r="G12" i="19"/>
  <c r="AT11" i="19"/>
  <c r="AU11" i="19"/>
  <c r="Y11" i="19"/>
  <c r="Z11" i="19"/>
  <c r="W11" i="19"/>
  <c r="V11" i="19"/>
  <c r="U11" i="19"/>
  <c r="T11" i="19"/>
  <c r="S11" i="19"/>
  <c r="R11" i="19"/>
  <c r="J11" i="19"/>
  <c r="G11" i="19"/>
  <c r="AT10" i="19"/>
  <c r="AV10" i="19"/>
  <c r="Y10" i="19"/>
  <c r="Z10" i="19"/>
  <c r="T10" i="19"/>
  <c r="R10" i="19"/>
  <c r="N10" i="19"/>
  <c r="J10" i="19"/>
  <c r="G10" i="19"/>
  <c r="AT9" i="19"/>
  <c r="AU9" i="19"/>
  <c r="Y9" i="19"/>
  <c r="Z9" i="19"/>
  <c r="W9" i="19"/>
  <c r="V9" i="19"/>
  <c r="T9" i="19"/>
  <c r="S9" i="19"/>
  <c r="R9" i="19"/>
  <c r="N9" i="19"/>
  <c r="I9" i="19"/>
  <c r="H9" i="19"/>
  <c r="J9" i="19"/>
  <c r="G9" i="19"/>
  <c r="F9" i="19"/>
  <c r="U9" i="19"/>
  <c r="AT8" i="19"/>
  <c r="AU8" i="19"/>
  <c r="Y8" i="19"/>
  <c r="W8" i="19"/>
  <c r="V8" i="19"/>
  <c r="T8" i="19"/>
  <c r="S8" i="19"/>
  <c r="R8" i="19"/>
  <c r="N8" i="19"/>
  <c r="I8" i="19"/>
  <c r="H8" i="19"/>
  <c r="J8" i="19"/>
  <c r="G8" i="19"/>
  <c r="F8" i="19"/>
  <c r="U8" i="19"/>
  <c r="AT7" i="19"/>
  <c r="AU7" i="19"/>
  <c r="Y7" i="19"/>
  <c r="Z7" i="19"/>
  <c r="W7" i="19"/>
  <c r="V7" i="19"/>
  <c r="T7" i="19"/>
  <c r="S7" i="19"/>
  <c r="R7" i="19"/>
  <c r="N7" i="19"/>
  <c r="I7" i="19"/>
  <c r="H7" i="19"/>
  <c r="J7" i="19"/>
  <c r="G7" i="19"/>
  <c r="F7" i="19"/>
  <c r="U7" i="19"/>
  <c r="AQ6" i="19"/>
  <c r="AN6" i="19"/>
  <c r="AP6" i="19"/>
  <c r="AK6" i="19"/>
  <c r="AM6" i="19"/>
  <c r="AH6" i="19"/>
  <c r="AJ6" i="19"/>
  <c r="AE6" i="19"/>
  <c r="AG6" i="19"/>
  <c r="AB6" i="19"/>
  <c r="AD6" i="19"/>
  <c r="AT6" i="19"/>
  <c r="AV6" i="19"/>
  <c r="Y6" i="19"/>
  <c r="V6" i="19"/>
  <c r="F6" i="19"/>
  <c r="U6" i="19"/>
  <c r="T6" i="19"/>
  <c r="S6" i="19"/>
  <c r="R6" i="19"/>
  <c r="N6" i="19"/>
  <c r="W6" i="19"/>
  <c r="I6" i="19"/>
  <c r="H6" i="19"/>
  <c r="J6" i="19"/>
  <c r="G6" i="19"/>
  <c r="M5" i="19"/>
  <c r="W5" i="19"/>
  <c r="V5" i="19"/>
  <c r="F5" i="19"/>
  <c r="U5" i="19"/>
  <c r="T5" i="19"/>
  <c r="S5" i="19"/>
  <c r="R5" i="19"/>
  <c r="N5" i="19"/>
  <c r="I5" i="19"/>
  <c r="H5" i="19"/>
  <c r="J5" i="19"/>
  <c r="G5" i="19"/>
  <c r="AC4" i="18"/>
  <c r="AG4" i="18"/>
  <c r="AF4" i="18"/>
  <c r="AE4" i="18"/>
  <c r="AD4" i="18"/>
  <c r="AB4" i="18"/>
  <c r="Z9" i="18"/>
  <c r="AG11" i="18"/>
  <c r="AF11" i="18"/>
  <c r="AE11" i="18"/>
  <c r="AD11" i="18"/>
  <c r="AC11" i="18"/>
  <c r="AB11" i="18"/>
  <c r="AH22" i="18"/>
  <c r="AG22" i="18"/>
  <c r="AE22" i="18"/>
  <c r="AF22" i="18"/>
  <c r="AD22" i="18"/>
  <c r="AC22" i="18"/>
  <c r="AB22" i="18"/>
  <c r="AG19" i="18"/>
  <c r="AF19" i="18"/>
  <c r="AE19" i="18"/>
  <c r="AD19" i="18"/>
  <c r="AC19" i="18"/>
  <c r="AB19" i="18"/>
  <c r="AA10" i="18"/>
  <c r="AA14" i="18"/>
  <c r="AA16" i="18"/>
  <c r="AA21" i="18"/>
  <c r="Z22" i="18"/>
  <c r="Z20" i="18"/>
  <c r="Z19" i="18"/>
  <c r="Z18" i="18"/>
  <c r="Z17" i="18"/>
  <c r="Z15" i="18"/>
  <c r="Z13" i="18"/>
  <c r="Z12" i="18"/>
  <c r="Z11" i="18"/>
  <c r="Z8" i="18"/>
  <c r="Z7" i="18"/>
  <c r="Z6" i="18"/>
  <c r="Z5" i="18"/>
  <c r="Z4" i="18"/>
  <c r="Y13" i="18"/>
  <c r="Y22" i="18"/>
  <c r="Y20" i="18"/>
  <c r="Y19" i="18"/>
  <c r="Y18" i="18"/>
  <c r="Y17" i="18"/>
  <c r="Y15" i="18"/>
  <c r="Y12" i="18"/>
  <c r="Y11" i="18"/>
  <c r="Y9" i="18"/>
  <c r="Y8" i="18"/>
  <c r="Y7" i="18"/>
  <c r="Y6" i="18"/>
  <c r="Y5" i="18"/>
  <c r="Y4" i="18"/>
  <c r="AA13" i="18"/>
  <c r="G20" i="26"/>
  <c r="J19" i="26"/>
  <c r="O19" i="26"/>
  <c r="AA5" i="18"/>
  <c r="AA17" i="18"/>
  <c r="AA22" i="18"/>
  <c r="AA11" i="18"/>
  <c r="AW6" i="19"/>
  <c r="AY6" i="19"/>
  <c r="AW8" i="19"/>
  <c r="AX8" i="19"/>
  <c r="AW13" i="19"/>
  <c r="AX13" i="19"/>
  <c r="AW15" i="19"/>
  <c r="AX15" i="19"/>
  <c r="AD27" i="20"/>
  <c r="AT27" i="20"/>
  <c r="AB25" i="20"/>
  <c r="AA27" i="20"/>
  <c r="AH27" i="20"/>
  <c r="AQ25" i="20"/>
  <c r="AP27" i="20"/>
  <c r="AM25" i="20"/>
  <c r="AL27" i="20"/>
  <c r="BC25" i="20"/>
  <c r="BC27" i="20"/>
  <c r="BB27" i="20"/>
  <c r="AA14" i="19"/>
  <c r="AA7" i="18"/>
  <c r="AA19" i="18"/>
  <c r="AA20" i="18"/>
  <c r="AA8" i="19"/>
  <c r="AA6" i="18"/>
  <c r="AA18" i="18"/>
  <c r="AW20" i="19"/>
  <c r="AX20" i="19"/>
  <c r="AW22" i="19"/>
  <c r="AX22" i="19"/>
  <c r="AW24" i="19"/>
  <c r="AX24" i="19"/>
  <c r="AU6" i="19"/>
  <c r="Z21" i="19"/>
  <c r="AM24" i="19"/>
  <c r="AB21" i="20"/>
  <c r="AX21" i="20"/>
  <c r="AX27" i="20"/>
  <c r="AB23" i="18"/>
  <c r="Z17" i="19"/>
  <c r="Z18" i="19"/>
  <c r="AA18" i="19"/>
  <c r="AA6" i="19"/>
  <c r="AJ24" i="19"/>
  <c r="AV22" i="19"/>
  <c r="AV8" i="19"/>
  <c r="AA19" i="19"/>
  <c r="Z19" i="19"/>
  <c r="AA12" i="18"/>
  <c r="AA4" i="18"/>
  <c r="AA8" i="18"/>
  <c r="AA15" i="18"/>
  <c r="AA9" i="18"/>
  <c r="AA10" i="19"/>
  <c r="AG24" i="19"/>
  <c r="AV24" i="19"/>
  <c r="AV20" i="19"/>
  <c r="AC7" i="20"/>
  <c r="A7" i="20"/>
  <c r="AV8" i="20"/>
  <c r="AW8" i="20"/>
  <c r="AF8" i="20"/>
  <c r="AF10" i="20"/>
  <c r="AG10" i="20"/>
  <c r="AF18" i="20"/>
  <c r="AG18" i="20"/>
  <c r="AV23" i="20"/>
  <c r="AW23" i="20"/>
  <c r="AF23" i="20"/>
  <c r="AF25" i="20"/>
  <c r="AF9" i="20"/>
  <c r="AF14" i="20"/>
  <c r="AG14" i="20"/>
  <c r="AE22" i="20"/>
  <c r="AV21" i="20"/>
  <c r="AW21" i="20"/>
  <c r="AF21" i="20"/>
  <c r="AG21" i="20"/>
  <c r="AF11" i="20"/>
  <c r="AG11" i="20"/>
  <c r="AY24" i="19"/>
  <c r="AY18" i="19"/>
  <c r="AY16" i="19"/>
  <c r="AY12" i="19"/>
  <c r="AD24" i="19"/>
  <c r="AP24" i="19"/>
  <c r="AA24" i="19"/>
  <c r="AA22" i="19"/>
  <c r="AA20" i="19"/>
  <c r="Z8" i="19"/>
  <c r="AP13" i="19"/>
  <c r="AU14" i="19"/>
  <c r="AU10" i="19"/>
  <c r="BG19" i="20"/>
  <c r="AF6" i="19"/>
  <c r="AX6" i="19"/>
  <c r="Z24" i="19"/>
  <c r="Z22" i="19"/>
  <c r="Z20" i="19"/>
  <c r="AA17" i="19"/>
  <c r="AA15" i="19"/>
  <c r="AA13" i="19"/>
  <c r="AA11" i="19"/>
  <c r="AA9" i="19"/>
  <c r="AA7" i="19"/>
  <c r="AD21" i="19"/>
  <c r="AD13" i="19"/>
  <c r="AG21" i="19"/>
  <c r="AG13" i="19"/>
  <c r="AJ21" i="19"/>
  <c r="AJ13" i="19"/>
  <c r="AM21" i="19"/>
  <c r="AM13" i="19"/>
  <c r="AV21" i="19"/>
  <c r="AV19" i="19"/>
  <c r="AV17" i="19"/>
  <c r="AV15" i="19"/>
  <c r="AV13" i="19"/>
  <c r="AV11" i="19"/>
  <c r="AV9" i="19"/>
  <c r="AV7" i="19"/>
  <c r="AY23" i="19"/>
  <c r="AL6" i="19"/>
  <c r="Z15" i="19"/>
  <c r="Z13" i="19"/>
  <c r="AP21" i="19"/>
  <c r="B24" i="20"/>
  <c r="C24" i="20"/>
  <c r="B20" i="20"/>
  <c r="C20" i="20"/>
  <c r="B16" i="20"/>
  <c r="B13" i="20"/>
  <c r="C13" i="20"/>
  <c r="B12" i="20"/>
  <c r="C12" i="20"/>
  <c r="B17" i="20"/>
  <c r="C17" i="20"/>
  <c r="AG23" i="20"/>
  <c r="AG9" i="20"/>
  <c r="AF7" i="20"/>
  <c r="AG7" i="20"/>
  <c r="AC11" i="20"/>
  <c r="A11" i="20"/>
  <c r="AG8" i="20"/>
  <c r="AC8" i="20"/>
  <c r="A8" i="20"/>
  <c r="AC14" i="20"/>
  <c r="A14" i="20"/>
  <c r="AC19" i="20"/>
  <c r="A19" i="20"/>
  <c r="BD18" i="20"/>
  <c r="AC25" i="20"/>
  <c r="AC21" i="20"/>
  <c r="A21" i="20"/>
  <c r="AZ7" i="20"/>
  <c r="BA7" i="20"/>
  <c r="AV25" i="20"/>
  <c r="BE8" i="20"/>
  <c r="BG8" i="20"/>
  <c r="L8" i="20"/>
  <c r="AR8" i="20"/>
  <c r="AS8" i="20"/>
  <c r="AR10" i="20"/>
  <c r="AS10" i="20"/>
  <c r="AN14" i="20"/>
  <c r="AO14" i="20"/>
  <c r="Y19" i="20"/>
  <c r="AZ15" i="20"/>
  <c r="BA15" i="20"/>
  <c r="L7" i="20"/>
  <c r="BE7" i="20"/>
  <c r="BG7" i="20"/>
  <c r="AR7" i="20"/>
  <c r="AS7" i="20"/>
  <c r="BF17" i="20"/>
  <c r="BD19" i="20"/>
  <c r="AJ25" i="20"/>
  <c r="AZ25" i="20"/>
  <c r="AZ19" i="20"/>
  <c r="BA19" i="20"/>
  <c r="L6" i="20"/>
  <c r="BD7" i="20"/>
  <c r="AZ14" i="20"/>
  <c r="BA14" i="20"/>
  <c r="AZ11" i="20"/>
  <c r="BA11" i="20"/>
  <c r="BE20" i="20"/>
  <c r="BG20" i="20"/>
  <c r="BD16" i="20"/>
  <c r="BE22" i="20"/>
  <c r="BF22" i="20"/>
  <c r="AB9" i="20"/>
  <c r="AJ14" i="20"/>
  <c r="AK14" i="20"/>
  <c r="BE25" i="20"/>
  <c r="AM14" i="20"/>
  <c r="BD15" i="20"/>
  <c r="AZ23" i="20"/>
  <c r="BA23" i="20"/>
  <c r="AB8" i="20"/>
  <c r="AJ8" i="20"/>
  <c r="AK8" i="20"/>
  <c r="AB10" i="20"/>
  <c r="AJ10" i="20"/>
  <c r="AK10" i="20"/>
  <c r="AB12" i="20"/>
  <c r="AZ18" i="20"/>
  <c r="BA18" i="20"/>
  <c r="AZ10" i="20"/>
  <c r="BA10" i="20"/>
  <c r="AR9" i="20"/>
  <c r="AS9" i="20"/>
  <c r="AR14" i="20"/>
  <c r="AS14" i="20"/>
  <c r="AR19" i="20"/>
  <c r="AS19" i="20"/>
  <c r="BE23" i="20"/>
  <c r="BG23" i="20"/>
  <c r="AR23" i="20"/>
  <c r="AS23" i="20"/>
  <c r="AE25" i="20"/>
  <c r="AU25" i="20"/>
  <c r="AZ9" i="20"/>
  <c r="BA9" i="20"/>
  <c r="AJ21" i="20"/>
  <c r="AK21" i="20"/>
  <c r="AR25" i="20"/>
  <c r="AN7" i="20"/>
  <c r="AO7" i="20"/>
  <c r="AJ9" i="20"/>
  <c r="AK9" i="20"/>
  <c r="Y18" i="20"/>
  <c r="AJ19" i="20"/>
  <c r="AK19" i="20"/>
  <c r="AR21" i="20"/>
  <c r="AS21" i="20"/>
  <c r="BD21" i="20"/>
  <c r="BD22" i="20"/>
  <c r="AB23" i="20"/>
  <c r="AJ23" i="20"/>
  <c r="AK23" i="20"/>
  <c r="BD25" i="20"/>
  <c r="AZ8" i="20"/>
  <c r="BA8" i="20"/>
  <c r="AB11" i="20"/>
  <c r="AV11" i="20"/>
  <c r="AW11" i="20"/>
  <c r="BD12" i="20"/>
  <c r="BC12" i="20"/>
  <c r="BG13" i="20"/>
  <c r="BF13" i="20"/>
  <c r="AV7" i="20"/>
  <c r="AW7" i="20"/>
  <c r="AU7" i="20"/>
  <c r="AE7" i="20"/>
  <c r="L10" i="20"/>
  <c r="BE10" i="20"/>
  <c r="BE11" i="20"/>
  <c r="BF11" i="20"/>
  <c r="BD11" i="20"/>
  <c r="AR11" i="20"/>
  <c r="AS11" i="20"/>
  <c r="AJ11" i="20"/>
  <c r="AK11" i="20"/>
  <c r="AE14" i="20"/>
  <c r="AN11" i="20"/>
  <c r="AO11" i="20"/>
  <c r="L9" i="20"/>
  <c r="BE9" i="20"/>
  <c r="BE12" i="20"/>
  <c r="BE14" i="20"/>
  <c r="BF14" i="20"/>
  <c r="AV14" i="20"/>
  <c r="AW14" i="20"/>
  <c r="AU14" i="20"/>
  <c r="AJ7" i="20"/>
  <c r="AK7" i="20"/>
  <c r="AN15" i="20"/>
  <c r="AO15" i="20"/>
  <c r="BE15" i="20"/>
  <c r="BF15" i="20"/>
  <c r="BE16" i="20"/>
  <c r="AN18" i="20"/>
  <c r="AO18" i="20"/>
  <c r="AV18" i="20"/>
  <c r="AW18" i="20"/>
  <c r="BE18" i="20"/>
  <c r="BF18" i="20"/>
  <c r="AM22" i="20"/>
  <c r="AB7" i="20"/>
  <c r="AQ7" i="20"/>
  <c r="Y8" i="20"/>
  <c r="BD8" i="20"/>
  <c r="Y9" i="20"/>
  <c r="BD9" i="20"/>
  <c r="Y10" i="20"/>
  <c r="BD10" i="20"/>
  <c r="AB14" i="20"/>
  <c r="AQ14" i="20"/>
  <c r="BD14" i="20"/>
  <c r="AB15" i="20"/>
  <c r="AB16" i="20"/>
  <c r="AB18" i="20"/>
  <c r="AN19" i="20"/>
  <c r="AO19" i="20"/>
  <c r="AV19" i="20"/>
  <c r="AW19" i="20"/>
  <c r="BC20" i="20"/>
  <c r="AN21" i="20"/>
  <c r="AO21" i="20"/>
  <c r="BE21" i="20"/>
  <c r="AI22" i="20"/>
  <c r="Y23" i="20"/>
  <c r="BD23" i="20"/>
  <c r="BF24" i="20"/>
  <c r="Y25" i="20"/>
  <c r="AI25" i="20"/>
  <c r="AN25" i="20"/>
  <c r="AV15" i="20"/>
  <c r="AW15" i="20"/>
  <c r="AN8" i="20"/>
  <c r="AO8" i="20"/>
  <c r="AN9" i="20"/>
  <c r="AO9" i="20"/>
  <c r="AN10" i="20"/>
  <c r="AO10" i="20"/>
  <c r="AJ15" i="20"/>
  <c r="AK15" i="20"/>
  <c r="AR15" i="20"/>
  <c r="AS15" i="20"/>
  <c r="AJ18" i="20"/>
  <c r="AK18" i="20"/>
  <c r="AR18" i="20"/>
  <c r="AS18" i="20"/>
  <c r="AN23" i="20"/>
  <c r="AO23" i="20"/>
  <c r="AC6" i="19"/>
  <c r="AI6" i="19"/>
  <c r="AO6" i="19"/>
  <c r="AW7" i="19"/>
  <c r="AW11" i="19"/>
  <c r="AW19" i="19"/>
  <c r="AW21" i="19"/>
  <c r="AW9" i="19"/>
  <c r="AW14" i="19"/>
  <c r="AW10" i="19"/>
  <c r="AW17" i="19"/>
  <c r="Z6" i="19"/>
  <c r="G22" i="18"/>
  <c r="G21" i="18"/>
  <c r="G20" i="18"/>
  <c r="G19" i="18"/>
  <c r="G18" i="18"/>
  <c r="G17" i="18"/>
  <c r="G16" i="18"/>
  <c r="G15" i="18"/>
  <c r="G14" i="18"/>
  <c r="G13" i="18"/>
  <c r="G12" i="18"/>
  <c r="G11" i="18"/>
  <c r="G10" i="18"/>
  <c r="G9" i="18"/>
  <c r="G8" i="18"/>
  <c r="S4" i="18"/>
  <c r="S3" i="18"/>
  <c r="V4" i="18"/>
  <c r="V5" i="18"/>
  <c r="V6" i="18"/>
  <c r="V7" i="18"/>
  <c r="U9" i="18"/>
  <c r="V9" i="18"/>
  <c r="W9" i="18"/>
  <c r="U10" i="18"/>
  <c r="V10" i="18"/>
  <c r="W10" i="18"/>
  <c r="V12" i="18"/>
  <c r="V13" i="18"/>
  <c r="W13" i="18"/>
  <c r="V14" i="18"/>
  <c r="W14" i="18"/>
  <c r="V15" i="18"/>
  <c r="V16" i="18"/>
  <c r="V20" i="18"/>
  <c r="V21" i="18"/>
  <c r="W21" i="18"/>
  <c r="V22" i="18"/>
  <c r="V3" i="18"/>
  <c r="R4" i="18"/>
  <c r="T4" i="18"/>
  <c r="R5" i="18"/>
  <c r="S5" i="18"/>
  <c r="T5" i="18"/>
  <c r="R6" i="18"/>
  <c r="S6" i="18"/>
  <c r="T6" i="18"/>
  <c r="R7" i="18"/>
  <c r="S7" i="18"/>
  <c r="T7" i="18"/>
  <c r="R8" i="18"/>
  <c r="T8" i="18"/>
  <c r="R9" i="18"/>
  <c r="S9" i="18"/>
  <c r="T9" i="18"/>
  <c r="R10" i="18"/>
  <c r="S10" i="18"/>
  <c r="T10" i="18"/>
  <c r="R11" i="18"/>
  <c r="T11" i="18"/>
  <c r="R12" i="18"/>
  <c r="S12" i="18"/>
  <c r="T12" i="18"/>
  <c r="R13" i="18"/>
  <c r="S13" i="18"/>
  <c r="T13" i="18"/>
  <c r="R14" i="18"/>
  <c r="S14" i="18"/>
  <c r="T14" i="18"/>
  <c r="R15" i="18"/>
  <c r="S15" i="18"/>
  <c r="T15" i="18"/>
  <c r="R16" i="18"/>
  <c r="S16" i="18"/>
  <c r="T16" i="18"/>
  <c r="R17" i="18"/>
  <c r="T17" i="18"/>
  <c r="R18" i="18"/>
  <c r="T18" i="18"/>
  <c r="R19" i="18"/>
  <c r="T19" i="18"/>
  <c r="R20" i="18"/>
  <c r="S20" i="18"/>
  <c r="T20" i="18"/>
  <c r="R21" i="18"/>
  <c r="S21" i="18"/>
  <c r="T21" i="18"/>
  <c r="R22" i="18"/>
  <c r="S22" i="18"/>
  <c r="T22" i="18"/>
  <c r="T3" i="18"/>
  <c r="R3" i="18"/>
  <c r="G21" i="26"/>
  <c r="J20" i="26"/>
  <c r="AY15" i="19"/>
  <c r="AZ21" i="20"/>
  <c r="BA21" i="20"/>
  <c r="B21" i="20"/>
  <c r="C21" i="20"/>
  <c r="AY8" i="19"/>
  <c r="AY22" i="19"/>
  <c r="AU27" i="20"/>
  <c r="AI27" i="20"/>
  <c r="AY13" i="19"/>
  <c r="AS25" i="20"/>
  <c r="AE27" i="20"/>
  <c r="BF25" i="20"/>
  <c r="BE27" i="20"/>
  <c r="AK25" i="20"/>
  <c r="A25" i="20"/>
  <c r="AQ27" i="20"/>
  <c r="AB27" i="20"/>
  <c r="BA25" i="20"/>
  <c r="BD27" i="20"/>
  <c r="AW25" i="20"/>
  <c r="AO25" i="20"/>
  <c r="AG25" i="20"/>
  <c r="AM27" i="20"/>
  <c r="AY20" i="19"/>
  <c r="C16" i="20"/>
  <c r="B18" i="20"/>
  <c r="C18" i="20"/>
  <c r="AF22" i="20"/>
  <c r="AG22" i="20"/>
  <c r="AC22" i="20"/>
  <c r="A22" i="20"/>
  <c r="B11" i="20"/>
  <c r="B10" i="20"/>
  <c r="C10" i="20"/>
  <c r="B23" i="20"/>
  <c r="C23" i="20"/>
  <c r="B15" i="20"/>
  <c r="C15" i="20"/>
  <c r="B19" i="20"/>
  <c r="C19" i="20"/>
  <c r="Z26" i="19"/>
  <c r="AA26" i="19"/>
  <c r="AX11" i="19"/>
  <c r="AY11" i="19"/>
  <c r="AX9" i="19"/>
  <c r="AY9" i="19"/>
  <c r="AX7" i="19"/>
  <c r="AY7" i="19"/>
  <c r="AX17" i="19"/>
  <c r="AY17" i="19"/>
  <c r="AX21" i="19"/>
  <c r="AY21" i="19"/>
  <c r="B7" i="20"/>
  <c r="C7" i="20"/>
  <c r="AX14" i="19"/>
  <c r="AY14" i="19"/>
  <c r="AY10" i="19"/>
  <c r="AX10" i="19"/>
  <c r="AX19" i="19"/>
  <c r="AY19" i="19"/>
  <c r="B8" i="20"/>
  <c r="C8" i="20"/>
  <c r="B14" i="20"/>
  <c r="C14" i="20"/>
  <c r="C11" i="20"/>
  <c r="B9" i="20"/>
  <c r="C9" i="20"/>
  <c r="BF20" i="20"/>
  <c r="BF8" i="20"/>
  <c r="AZ22" i="20"/>
  <c r="AZ27" i="20"/>
  <c r="BG25" i="20"/>
  <c r="BF7" i="20"/>
  <c r="AR22" i="20"/>
  <c r="AR27" i="20"/>
  <c r="AV22" i="20"/>
  <c r="AV27" i="20"/>
  <c r="BG22" i="20"/>
  <c r="BF23" i="20"/>
  <c r="BG11" i="20"/>
  <c r="BG14" i="20"/>
  <c r="AJ22" i="20"/>
  <c r="AJ27" i="20"/>
  <c r="AN22" i="20"/>
  <c r="AN27" i="20"/>
  <c r="BG10" i="20"/>
  <c r="BF10" i="20"/>
  <c r="BG18" i="20"/>
  <c r="BF21" i="20"/>
  <c r="BG21" i="20"/>
  <c r="BG9" i="20"/>
  <c r="BF9" i="20"/>
  <c r="BG16" i="20"/>
  <c r="BF16" i="20"/>
  <c r="AB28" i="20"/>
  <c r="BG12" i="20"/>
  <c r="BF12" i="20"/>
  <c r="BG15" i="20"/>
  <c r="N22" i="18"/>
  <c r="M22" i="18"/>
  <c r="W22" i="18"/>
  <c r="N20" i="18"/>
  <c r="M20" i="18"/>
  <c r="W20" i="18"/>
  <c r="N18" i="18"/>
  <c r="M18" i="18"/>
  <c r="M16" i="18"/>
  <c r="W16" i="18"/>
  <c r="N16" i="18"/>
  <c r="N15" i="18"/>
  <c r="M15" i="18"/>
  <c r="W15" i="18"/>
  <c r="N12" i="18"/>
  <c r="M12" i="18"/>
  <c r="W12" i="18"/>
  <c r="N11" i="18"/>
  <c r="M11" i="18"/>
  <c r="N8" i="18"/>
  <c r="M8" i="18"/>
  <c r="N7" i="18"/>
  <c r="M7" i="18"/>
  <c r="W7" i="18"/>
  <c r="N6" i="18"/>
  <c r="M6" i="18"/>
  <c r="W6" i="18"/>
  <c r="N5" i="18"/>
  <c r="M5" i="18"/>
  <c r="W5" i="18"/>
  <c r="M4" i="18"/>
  <c r="W4" i="18"/>
  <c r="N4" i="18"/>
  <c r="N3" i="18"/>
  <c r="M3" i="18"/>
  <c r="W3" i="18"/>
  <c r="F22" i="18"/>
  <c r="U22" i="18"/>
  <c r="F21" i="18"/>
  <c r="U21" i="18"/>
  <c r="F20" i="18"/>
  <c r="U20" i="18"/>
  <c r="F19" i="18"/>
  <c r="F18" i="18"/>
  <c r="F17" i="18"/>
  <c r="F16" i="18"/>
  <c r="U16" i="18"/>
  <c r="F15" i="18"/>
  <c r="U15" i="18"/>
  <c r="F14" i="18"/>
  <c r="U14" i="18"/>
  <c r="F13" i="18"/>
  <c r="U13" i="18"/>
  <c r="F12" i="18"/>
  <c r="U12" i="18"/>
  <c r="I7" i="18"/>
  <c r="H7" i="18"/>
  <c r="G7" i="18"/>
  <c r="F7" i="18"/>
  <c r="U7" i="18"/>
  <c r="I6" i="18"/>
  <c r="H6" i="18"/>
  <c r="G6" i="18"/>
  <c r="F6" i="18"/>
  <c r="U6" i="18"/>
  <c r="J8" i="18"/>
  <c r="J9" i="18"/>
  <c r="J10" i="18"/>
  <c r="J11" i="18"/>
  <c r="J12" i="18"/>
  <c r="J13" i="18"/>
  <c r="J14" i="18"/>
  <c r="J15" i="18"/>
  <c r="J16" i="18"/>
  <c r="J17" i="18"/>
  <c r="J18" i="18"/>
  <c r="J19" i="18"/>
  <c r="J20" i="18"/>
  <c r="J21" i="18"/>
  <c r="J22" i="18"/>
  <c r="I5" i="18"/>
  <c r="H5" i="18"/>
  <c r="G5" i="18"/>
  <c r="F5" i="18"/>
  <c r="U5" i="18"/>
  <c r="F4" i="18"/>
  <c r="U4" i="18"/>
  <c r="G4" i="18"/>
  <c r="H4" i="18"/>
  <c r="I4" i="18"/>
  <c r="I3" i="18"/>
  <c r="H3" i="18"/>
  <c r="G3" i="18"/>
  <c r="F3" i="18"/>
  <c r="U3" i="18"/>
  <c r="D40" i="9"/>
  <c r="D39" i="9"/>
  <c r="R8" i="9"/>
  <c r="J12" i="9"/>
  <c r="J13" i="9"/>
  <c r="J14" i="9"/>
  <c r="Y14" i="9"/>
  <c r="J15" i="9"/>
  <c r="AA15" i="9"/>
  <c r="J16" i="9"/>
  <c r="AA16" i="9"/>
  <c r="J17" i="9"/>
  <c r="J18" i="9"/>
  <c r="AA18" i="9"/>
  <c r="J19" i="9"/>
  <c r="AB19" i="9"/>
  <c r="AB32" i="9"/>
  <c r="J20" i="9"/>
  <c r="AA20" i="9"/>
  <c r="J21" i="9"/>
  <c r="J22" i="9"/>
  <c r="J23" i="9"/>
  <c r="AA23" i="9"/>
  <c r="J24" i="9"/>
  <c r="AA24" i="9"/>
  <c r="J26" i="9"/>
  <c r="AG26" i="9"/>
  <c r="AH26" i="9"/>
  <c r="J27" i="9"/>
  <c r="J28" i="9"/>
  <c r="AA28" i="9"/>
  <c r="AG28" i="9"/>
  <c r="AH28" i="9"/>
  <c r="J29" i="9"/>
  <c r="AA29" i="9"/>
  <c r="AG29" i="9"/>
  <c r="J30" i="9"/>
  <c r="AA30" i="9"/>
  <c r="AG30" i="9"/>
  <c r="AH30" i="9"/>
  <c r="G12" i="9"/>
  <c r="G13" i="9"/>
  <c r="G14" i="9"/>
  <c r="G15" i="9"/>
  <c r="G16" i="9"/>
  <c r="G17" i="9"/>
  <c r="G18" i="9"/>
  <c r="G19" i="9"/>
  <c r="X19" i="9"/>
  <c r="G20" i="9"/>
  <c r="G21" i="9"/>
  <c r="G22" i="9"/>
  <c r="G23" i="9"/>
  <c r="G24" i="9"/>
  <c r="G25" i="9"/>
  <c r="J25" i="9"/>
  <c r="G26" i="9"/>
  <c r="G27" i="9"/>
  <c r="G28" i="9"/>
  <c r="G29" i="9"/>
  <c r="G30" i="9"/>
  <c r="P30" i="9"/>
  <c r="V30" i="9"/>
  <c r="J11" i="9"/>
  <c r="AA11" i="9"/>
  <c r="G11" i="9"/>
  <c r="O11" i="9"/>
  <c r="O12" i="9"/>
  <c r="O13" i="9"/>
  <c r="O14" i="9"/>
  <c r="Q14" i="9"/>
  <c r="O15" i="9"/>
  <c r="O16" i="9"/>
  <c r="Q16" i="9"/>
  <c r="O17" i="9"/>
  <c r="O18" i="9"/>
  <c r="O19" i="9"/>
  <c r="O20" i="9"/>
  <c r="O21" i="9"/>
  <c r="O22" i="9"/>
  <c r="O23" i="9"/>
  <c r="O24" i="9"/>
  <c r="O25" i="9"/>
  <c r="O26" i="9"/>
  <c r="O27" i="9"/>
  <c r="O28" i="9"/>
  <c r="O29" i="9"/>
  <c r="O30" i="9"/>
  <c r="P12" i="9"/>
  <c r="P13" i="9"/>
  <c r="P14" i="9"/>
  <c r="T14" i="9"/>
  <c r="P15" i="9"/>
  <c r="P16" i="9"/>
  <c r="T16" i="9"/>
  <c r="P17" i="9"/>
  <c r="P18" i="9"/>
  <c r="T18" i="9"/>
  <c r="P19" i="9"/>
  <c r="P20" i="9"/>
  <c r="P21" i="9"/>
  <c r="P22" i="9"/>
  <c r="P23" i="9"/>
  <c r="P24" i="9"/>
  <c r="P25" i="9"/>
  <c r="P26" i="9"/>
  <c r="P27" i="9"/>
  <c r="P28" i="9"/>
  <c r="P29" i="9"/>
  <c r="P11" i="9"/>
  <c r="T11" i="9"/>
  <c r="G22" i="26"/>
  <c r="J21" i="26"/>
  <c r="O21" i="26"/>
  <c r="O20" i="26"/>
  <c r="J4" i="18"/>
  <c r="AG27" i="20"/>
  <c r="BG27" i="20"/>
  <c r="BF27" i="20"/>
  <c r="B25" i="20"/>
  <c r="C25" i="20"/>
  <c r="A27" i="20"/>
  <c r="AF27" i="20"/>
  <c r="AC27" i="20"/>
  <c r="AO22" i="20"/>
  <c r="AO27" i="20"/>
  <c r="AK22" i="20"/>
  <c r="AK27" i="20"/>
  <c r="AW22" i="20"/>
  <c r="AW27" i="20"/>
  <c r="AS22" i="20"/>
  <c r="AS27" i="20"/>
  <c r="BA22" i="20"/>
  <c r="BA27" i="20"/>
  <c r="AC28" i="20"/>
  <c r="X25" i="9"/>
  <c r="AE25" i="9"/>
  <c r="AF25" i="9"/>
  <c r="V28" i="9"/>
  <c r="Y23" i="9"/>
  <c r="Q21" i="9"/>
  <c r="R21" i="9"/>
  <c r="Q17" i="9"/>
  <c r="Q13" i="9"/>
  <c r="V27" i="9"/>
  <c r="Q29" i="9"/>
  <c r="R29" i="9"/>
  <c r="V29" i="9"/>
  <c r="V21" i="9"/>
  <c r="T17" i="9"/>
  <c r="T13" i="9"/>
  <c r="V26" i="9"/>
  <c r="S26" i="9"/>
  <c r="V22" i="9"/>
  <c r="J3" i="18"/>
  <c r="J5" i="18"/>
  <c r="J6" i="18"/>
  <c r="J7" i="18"/>
  <c r="Q11" i="9"/>
  <c r="R11" i="9"/>
  <c r="AA27" i="9"/>
  <c r="AG27" i="9"/>
  <c r="AH27" i="9"/>
  <c r="T23" i="9"/>
  <c r="Z17" i="9"/>
  <c r="Z13" i="9"/>
  <c r="AH29" i="9"/>
  <c r="Q28" i="9"/>
  <c r="R28" i="9"/>
  <c r="Q24" i="9"/>
  <c r="Q20" i="9"/>
  <c r="R20" i="9"/>
  <c r="Q12" i="9"/>
  <c r="Q30" i="9"/>
  <c r="Q18" i="9"/>
  <c r="T24" i="9"/>
  <c r="T20" i="9"/>
  <c r="T12" i="9"/>
  <c r="AC25" i="9"/>
  <c r="AG25" i="9"/>
  <c r="AH25" i="9"/>
  <c r="X32" i="9"/>
  <c r="Q22" i="9"/>
  <c r="Z24" i="9"/>
  <c r="Z23" i="9"/>
  <c r="AG23" i="9"/>
  <c r="AH23" i="9"/>
  <c r="Q23" i="9"/>
  <c r="Q19" i="9"/>
  <c r="Q15" i="9"/>
  <c r="Y20" i="9"/>
  <c r="Y16" i="9"/>
  <c r="Y12" i="9"/>
  <c r="Z15" i="9"/>
  <c r="Y24" i="9"/>
  <c r="AG24" i="9"/>
  <c r="AH24" i="9"/>
  <c r="T15" i="9"/>
  <c r="AA12" i="9"/>
  <c r="V32" i="9"/>
  <c r="Q27" i="9"/>
  <c r="R27" i="9"/>
  <c r="W19" i="9"/>
  <c r="W32" i="9"/>
  <c r="Y18" i="9"/>
  <c r="AA14" i="9"/>
  <c r="Y11" i="9"/>
  <c r="Z18" i="9"/>
  <c r="Y17" i="9"/>
  <c r="Z14" i="9"/>
  <c r="AG14" i="9"/>
  <c r="AH14" i="9"/>
  <c r="Y13" i="9"/>
  <c r="Z11" i="9"/>
  <c r="Q26" i="9"/>
  <c r="AA17" i="9"/>
  <c r="Z16" i="9"/>
  <c r="Y15" i="9"/>
  <c r="AG15" i="9"/>
  <c r="AH15" i="9"/>
  <c r="AA13" i="9"/>
  <c r="Z12" i="9"/>
  <c r="Z20" i="9"/>
  <c r="C23" i="16"/>
  <c r="E8" i="16"/>
  <c r="E9" i="16"/>
  <c r="E10" i="16"/>
  <c r="E11" i="16"/>
  <c r="E12" i="16"/>
  <c r="E13" i="16"/>
  <c r="E14" i="16"/>
  <c r="E17" i="16"/>
  <c r="E18" i="16"/>
  <c r="E19" i="16"/>
  <c r="E20" i="16"/>
  <c r="E21" i="16"/>
  <c r="E23" i="16"/>
  <c r="F7" i="16"/>
  <c r="F3" i="16"/>
  <c r="F8" i="16"/>
  <c r="I18" i="16"/>
  <c r="F18" i="16"/>
  <c r="F11" i="16"/>
  <c r="I17" i="16"/>
  <c r="F17" i="16"/>
  <c r="I20" i="16"/>
  <c r="F20" i="16"/>
  <c r="G9" i="16"/>
  <c r="G13" i="16"/>
  <c r="H7" i="16"/>
  <c r="H8" i="16"/>
  <c r="H12" i="16"/>
  <c r="K15" i="16"/>
  <c r="O15" i="16"/>
  <c r="J15" i="16"/>
  <c r="J23" i="16"/>
  <c r="K16" i="16"/>
  <c r="K23" i="16"/>
  <c r="L23" i="16"/>
  <c r="M23" i="16"/>
  <c r="N23" i="16"/>
  <c r="O23" i="16"/>
  <c r="D8" i="16"/>
  <c r="D9" i="16"/>
  <c r="D10" i="16"/>
  <c r="D11" i="16"/>
  <c r="D12" i="16"/>
  <c r="D13" i="16"/>
  <c r="D14" i="16"/>
  <c r="D17" i="16"/>
  <c r="D18" i="16"/>
  <c r="D19" i="16"/>
  <c r="D20" i="16"/>
  <c r="D21" i="16"/>
  <c r="D23" i="16"/>
  <c r="F3" i="15"/>
  <c r="G8" i="15"/>
  <c r="I8" i="15"/>
  <c r="I16" i="15"/>
  <c r="I17" i="15"/>
  <c r="I18" i="15"/>
  <c r="I19" i="15"/>
  <c r="I21" i="15"/>
  <c r="I23" i="15"/>
  <c r="I7" i="15"/>
  <c r="F7" i="15"/>
  <c r="D8" i="15"/>
  <c r="D9" i="15"/>
  <c r="D10" i="15"/>
  <c r="D11" i="15"/>
  <c r="D16" i="15"/>
  <c r="D17" i="15"/>
  <c r="D18" i="15"/>
  <c r="D19" i="15"/>
  <c r="D21" i="15"/>
  <c r="D23" i="15"/>
  <c r="E8" i="15"/>
  <c r="E9" i="15"/>
  <c r="E10" i="15"/>
  <c r="E11" i="15"/>
  <c r="E16" i="15"/>
  <c r="E17" i="15"/>
  <c r="E18" i="15"/>
  <c r="E19" i="15"/>
  <c r="E21" i="15"/>
  <c r="E23" i="15"/>
  <c r="F8" i="15"/>
  <c r="F9" i="15"/>
  <c r="F10" i="15"/>
  <c r="F11" i="15"/>
  <c r="F16" i="15"/>
  <c r="F17" i="15"/>
  <c r="F18" i="15"/>
  <c r="F19" i="15"/>
  <c r="F21" i="15"/>
  <c r="F23" i="15"/>
  <c r="G9" i="15"/>
  <c r="G10" i="15"/>
  <c r="G11" i="15"/>
  <c r="G21" i="15"/>
  <c r="G23" i="15"/>
  <c r="H7" i="15"/>
  <c r="H8" i="15"/>
  <c r="H9" i="15"/>
  <c r="H10" i="15"/>
  <c r="H11" i="15"/>
  <c r="H12" i="15"/>
  <c r="H13" i="15"/>
  <c r="H14" i="15"/>
  <c r="H15" i="15"/>
  <c r="H21" i="15"/>
  <c r="H23" i="15"/>
  <c r="C21" i="15"/>
  <c r="C23" i="15"/>
  <c r="K13" i="15"/>
  <c r="K14" i="15"/>
  <c r="K21" i="15"/>
  <c r="O13" i="15"/>
  <c r="J13" i="15"/>
  <c r="J21" i="15"/>
  <c r="AC19" i="9"/>
  <c r="AG19" i="9"/>
  <c r="AH19" i="9"/>
  <c r="AA22" i="9"/>
  <c r="AG22" i="9"/>
  <c r="AH22" i="9"/>
  <c r="AA21" i="9"/>
  <c r="AG21" i="9"/>
  <c r="AH21" i="9"/>
  <c r="S22" i="9"/>
  <c r="S27" i="9"/>
  <c r="S28" i="9"/>
  <c r="S29" i="9"/>
  <c r="S30" i="9"/>
  <c r="S21" i="9"/>
  <c r="R12" i="9"/>
  <c r="R13" i="9"/>
  <c r="R14" i="9"/>
  <c r="R15" i="9"/>
  <c r="R16" i="9"/>
  <c r="R17" i="9"/>
  <c r="R18" i="9"/>
  <c r="R22" i="9"/>
  <c r="R24" i="9"/>
  <c r="R30" i="9"/>
  <c r="K12" i="8"/>
  <c r="K13" i="8"/>
  <c r="K19" i="8"/>
  <c r="C10" i="13"/>
  <c r="F3" i="8"/>
  <c r="I16" i="8"/>
  <c r="F16" i="8"/>
  <c r="I15" i="8"/>
  <c r="F15" i="8"/>
  <c r="I17" i="8"/>
  <c r="F7" i="8"/>
  <c r="H7" i="8"/>
  <c r="H9" i="8"/>
  <c r="H11" i="8"/>
  <c r="H13" i="8"/>
  <c r="G9" i="8"/>
  <c r="G11" i="8"/>
  <c r="F8" i="8"/>
  <c r="F9" i="8"/>
  <c r="F10" i="8"/>
  <c r="F11" i="8"/>
  <c r="F17" i="8"/>
  <c r="E8" i="8"/>
  <c r="E9" i="8"/>
  <c r="E10" i="8"/>
  <c r="E11" i="8"/>
  <c r="E14" i="8"/>
  <c r="E15" i="8"/>
  <c r="E16" i="8"/>
  <c r="E17" i="8"/>
  <c r="E19" i="8"/>
  <c r="C4" i="13"/>
  <c r="D8" i="8"/>
  <c r="D9" i="8"/>
  <c r="D10" i="8"/>
  <c r="D11" i="8"/>
  <c r="D14" i="8"/>
  <c r="D15" i="8"/>
  <c r="D16" i="8"/>
  <c r="D17" i="8"/>
  <c r="D19" i="8"/>
  <c r="C3" i="13"/>
  <c r="O12" i="8"/>
  <c r="J12" i="8"/>
  <c r="J19" i="8"/>
  <c r="C19" i="8"/>
  <c r="H26" i="12"/>
  <c r="H28" i="12"/>
  <c r="B20" i="12"/>
  <c r="B23" i="12"/>
  <c r="H23" i="12"/>
  <c r="H20" i="12"/>
  <c r="H22" i="12"/>
  <c r="N22" i="12"/>
  <c r="M26" i="12"/>
  <c r="M27" i="12"/>
  <c r="M28" i="12"/>
  <c r="G20" i="12"/>
  <c r="G23" i="12"/>
  <c r="M23" i="12"/>
  <c r="L26" i="12"/>
  <c r="L27" i="12"/>
  <c r="L28" i="12"/>
  <c r="F20" i="12"/>
  <c r="F23" i="12"/>
  <c r="L23" i="12"/>
  <c r="K26" i="12"/>
  <c r="K27" i="12"/>
  <c r="K28" i="12"/>
  <c r="E20" i="12"/>
  <c r="E23" i="12"/>
  <c r="K23" i="12"/>
  <c r="J26" i="12"/>
  <c r="J27" i="12"/>
  <c r="J28" i="12"/>
  <c r="D20" i="12"/>
  <c r="D23" i="12"/>
  <c r="J23" i="12"/>
  <c r="I26" i="12"/>
  <c r="I27" i="12"/>
  <c r="I28" i="12"/>
  <c r="C20" i="12"/>
  <c r="C23" i="12"/>
  <c r="I23" i="12"/>
  <c r="N26" i="12"/>
  <c r="O17" i="12"/>
  <c r="H12" i="12"/>
  <c r="H14" i="12"/>
  <c r="B9" i="12"/>
  <c r="H9" i="12"/>
  <c r="H10" i="12"/>
  <c r="N10" i="12"/>
  <c r="H6" i="12"/>
  <c r="H8" i="12"/>
  <c r="N8" i="12"/>
  <c r="H7" i="12"/>
  <c r="N7" i="12"/>
  <c r="M12" i="12"/>
  <c r="M14" i="12"/>
  <c r="M13" i="12"/>
  <c r="G9" i="12"/>
  <c r="M9" i="12"/>
  <c r="M6" i="12"/>
  <c r="M8" i="12"/>
  <c r="L12" i="12"/>
  <c r="L14" i="12"/>
  <c r="F9" i="12"/>
  <c r="L9" i="12"/>
  <c r="L11" i="12"/>
  <c r="L6" i="12"/>
  <c r="L7" i="12"/>
  <c r="L8" i="12"/>
  <c r="K12" i="12"/>
  <c r="K13" i="12"/>
  <c r="K14" i="12"/>
  <c r="E9" i="12"/>
  <c r="K9" i="12"/>
  <c r="K6" i="12"/>
  <c r="K8" i="12"/>
  <c r="K7" i="12"/>
  <c r="J12" i="12"/>
  <c r="J14" i="12"/>
  <c r="J13" i="12"/>
  <c r="D9" i="12"/>
  <c r="J9" i="12"/>
  <c r="J11" i="12"/>
  <c r="J10" i="12"/>
  <c r="J6" i="12"/>
  <c r="J8" i="12"/>
  <c r="J7" i="12"/>
  <c r="J15" i="12"/>
  <c r="I12" i="12"/>
  <c r="I14" i="12"/>
  <c r="I13" i="12"/>
  <c r="C9" i="12"/>
  <c r="I9" i="12"/>
  <c r="I6" i="12"/>
  <c r="I8" i="12"/>
  <c r="N9" i="12"/>
  <c r="N6" i="12"/>
  <c r="L4" i="12"/>
  <c r="K4" i="12"/>
  <c r="J4" i="12"/>
  <c r="I4" i="12"/>
  <c r="H4" i="12"/>
  <c r="I23" i="7"/>
  <c r="J23" i="7"/>
  <c r="I22" i="7"/>
  <c r="J22" i="7"/>
  <c r="I20" i="7"/>
  <c r="B6" i="7"/>
  <c r="C20" i="8"/>
  <c r="I21" i="7"/>
  <c r="J20" i="7"/>
  <c r="K20" i="7"/>
  <c r="C6" i="7"/>
  <c r="D6" i="7"/>
  <c r="R6" i="7"/>
  <c r="J22" i="26"/>
  <c r="G10" i="26"/>
  <c r="B22" i="20"/>
  <c r="I25" i="12"/>
  <c r="I24" i="12"/>
  <c r="N14" i="12"/>
  <c r="H13" i="12"/>
  <c r="N13" i="12"/>
  <c r="H11" i="12"/>
  <c r="N11" i="12"/>
  <c r="N15" i="12"/>
  <c r="L25" i="12"/>
  <c r="L24" i="12"/>
  <c r="M11" i="12"/>
  <c r="M10" i="12"/>
  <c r="M7" i="12"/>
  <c r="M15" i="12"/>
  <c r="M25" i="12"/>
  <c r="M24" i="12"/>
  <c r="K25" i="12"/>
  <c r="K24" i="12"/>
  <c r="N28" i="12"/>
  <c r="N23" i="12"/>
  <c r="H24" i="12"/>
  <c r="N24" i="12"/>
  <c r="H25" i="12"/>
  <c r="N25" i="12"/>
  <c r="I11" i="12"/>
  <c r="I10" i="12"/>
  <c r="I7" i="12"/>
  <c r="I15" i="12"/>
  <c r="K10" i="12"/>
  <c r="K11" i="12"/>
  <c r="K15" i="12"/>
  <c r="J25" i="12"/>
  <c r="J24" i="12"/>
  <c r="I20" i="12"/>
  <c r="I21" i="12"/>
  <c r="I22" i="12"/>
  <c r="I29" i="12"/>
  <c r="J20" i="12"/>
  <c r="K20" i="12"/>
  <c r="L20" i="12"/>
  <c r="M20" i="12"/>
  <c r="H21" i="12"/>
  <c r="N21" i="12"/>
  <c r="H27" i="12"/>
  <c r="N27" i="12"/>
  <c r="G8" i="8"/>
  <c r="H12" i="8"/>
  <c r="H8" i="8"/>
  <c r="H10" i="8"/>
  <c r="H19" i="8"/>
  <c r="C8" i="13"/>
  <c r="I14" i="8"/>
  <c r="H11" i="16"/>
  <c r="G12" i="16"/>
  <c r="G8" i="16"/>
  <c r="F14" i="16"/>
  <c r="F10" i="16"/>
  <c r="L10" i="12"/>
  <c r="L13" i="12"/>
  <c r="L15" i="12"/>
  <c r="N20" i="12"/>
  <c r="H14" i="16"/>
  <c r="H10" i="16"/>
  <c r="G11" i="16"/>
  <c r="I19" i="16"/>
  <c r="F13" i="16"/>
  <c r="I21" i="16"/>
  <c r="F21" i="16"/>
  <c r="F9" i="16"/>
  <c r="T32" i="9"/>
  <c r="AG20" i="9"/>
  <c r="AH20" i="9"/>
  <c r="N12" i="12"/>
  <c r="G10" i="8"/>
  <c r="AE30" i="9"/>
  <c r="AF30" i="9"/>
  <c r="H13" i="16"/>
  <c r="H9" i="16"/>
  <c r="H23" i="16"/>
  <c r="G14" i="16"/>
  <c r="G10" i="16"/>
  <c r="F12" i="16"/>
  <c r="AG12" i="9"/>
  <c r="AH12" i="9"/>
  <c r="R19" i="9"/>
  <c r="AE19" i="9"/>
  <c r="AF19" i="9"/>
  <c r="AE29" i="9"/>
  <c r="AF29" i="9"/>
  <c r="AG13" i="9"/>
  <c r="AH13" i="9"/>
  <c r="AG11" i="9"/>
  <c r="AH11" i="9"/>
  <c r="AG16" i="9"/>
  <c r="AH16" i="9"/>
  <c r="R23" i="9"/>
  <c r="AE22" i="9"/>
  <c r="AF22" i="9"/>
  <c r="AE28" i="9"/>
  <c r="AF28" i="9"/>
  <c r="AE21" i="9"/>
  <c r="AF21" i="9"/>
  <c r="AE27" i="9"/>
  <c r="AF27" i="9"/>
  <c r="AG17" i="9"/>
  <c r="AH17" i="9"/>
  <c r="AG18" i="9"/>
  <c r="AH18" i="9"/>
  <c r="AC32" i="9"/>
  <c r="AA32" i="9"/>
  <c r="Q32" i="9"/>
  <c r="Z32" i="9"/>
  <c r="R26" i="9"/>
  <c r="AE26" i="9"/>
  <c r="AF26" i="9"/>
  <c r="Y32" i="9"/>
  <c r="S20" i="9"/>
  <c r="U20" i="9"/>
  <c r="S11" i="9"/>
  <c r="U11" i="9"/>
  <c r="AE11" i="9"/>
  <c r="AF11" i="9"/>
  <c r="S14" i="9"/>
  <c r="U14" i="9"/>
  <c r="U24" i="9"/>
  <c r="S24" i="9"/>
  <c r="AE24" i="9"/>
  <c r="AF24" i="9"/>
  <c r="S17" i="9"/>
  <c r="U17" i="9"/>
  <c r="AE17" i="9"/>
  <c r="AF17" i="9"/>
  <c r="S13" i="9"/>
  <c r="U13" i="9"/>
  <c r="U15" i="9"/>
  <c r="S15" i="9"/>
  <c r="U18" i="9"/>
  <c r="S18" i="9"/>
  <c r="AE18" i="9"/>
  <c r="AF18" i="9"/>
  <c r="S23" i="9"/>
  <c r="U23" i="9"/>
  <c r="AE23" i="9"/>
  <c r="AF23" i="9"/>
  <c r="S16" i="9"/>
  <c r="U16" i="9"/>
  <c r="AE16" i="9"/>
  <c r="AF16" i="9"/>
  <c r="S12" i="9"/>
  <c r="U12" i="9"/>
  <c r="AE12" i="9"/>
  <c r="AF12" i="9"/>
  <c r="O22" i="26"/>
  <c r="O10" i="26"/>
  <c r="C22" i="20"/>
  <c r="C27" i="20"/>
  <c r="B27" i="20"/>
  <c r="H29" i="12"/>
  <c r="AE15" i="9"/>
  <c r="AF15" i="9"/>
  <c r="AE14" i="9"/>
  <c r="AF14" i="9"/>
  <c r="AE20" i="9"/>
  <c r="AF20" i="9"/>
  <c r="I23" i="16"/>
  <c r="F19" i="16"/>
  <c r="F23" i="16"/>
  <c r="G23" i="16"/>
  <c r="D25" i="16"/>
  <c r="M21" i="12"/>
  <c r="M22" i="12"/>
  <c r="M29" i="12"/>
  <c r="N29" i="12"/>
  <c r="O29" i="12"/>
  <c r="J21" i="12"/>
  <c r="J22" i="12"/>
  <c r="J29" i="12"/>
  <c r="G19" i="8"/>
  <c r="C7" i="13"/>
  <c r="L21" i="12"/>
  <c r="L22" i="12"/>
  <c r="L29" i="12"/>
  <c r="F14" i="8"/>
  <c r="F19" i="8"/>
  <c r="I19" i="8"/>
  <c r="C9" i="13"/>
  <c r="K21" i="12"/>
  <c r="K22" i="12"/>
  <c r="K29" i="12"/>
  <c r="H15" i="12"/>
  <c r="AE13" i="9"/>
  <c r="AF13" i="9"/>
  <c r="R32" i="9"/>
  <c r="S32" i="9"/>
  <c r="U32" i="9"/>
  <c r="C6" i="13"/>
  <c r="C5" i="13"/>
</calcChain>
</file>

<file path=xl/sharedStrings.xml><?xml version="1.0" encoding="utf-8"?>
<sst xmlns="http://schemas.openxmlformats.org/spreadsheetml/2006/main" count="2238" uniqueCount="454">
  <si>
    <t>Sector</t>
  </si>
  <si>
    <t>BmpFullName</t>
  </si>
  <si>
    <t>ShortName</t>
  </si>
  <si>
    <t>GeographySubmittedOn</t>
  </si>
  <si>
    <t>LanduseGroup</t>
  </si>
  <si>
    <t>AmountSubmitted</t>
  </si>
  <si>
    <t>Unit</t>
  </si>
  <si>
    <t>CalculatedAmountSubmitted</t>
  </si>
  <si>
    <t>CalculatedAmountSubmittedWithBackOut</t>
  </si>
  <si>
    <t>AmountCredited</t>
  </si>
  <si>
    <t>AmountNotCredited</t>
  </si>
  <si>
    <t>UnitCalculated</t>
  </si>
  <si>
    <t>PercentImplementation</t>
  </si>
  <si>
    <t>TotalAnnualizedCost</t>
  </si>
  <si>
    <t>Notes</t>
  </si>
  <si>
    <t>LifespanYears</t>
  </si>
  <si>
    <t>Capital</t>
  </si>
  <si>
    <t>OandM</t>
  </si>
  <si>
    <t>Opportunity</t>
  </si>
  <si>
    <t>Agriculture</t>
  </si>
  <si>
    <t>Barnyard Runoff Control</t>
  </si>
  <si>
    <t>BarnRunoffCont</t>
  </si>
  <si>
    <t>Shenandoah, VA</t>
  </si>
  <si>
    <t>animal feeding operations</t>
  </si>
  <si>
    <t>percent</t>
  </si>
  <si>
    <t>acres</t>
  </si>
  <si>
    <t>assumed to be the same percentage as awms (Jed Rau) funding for AWMS requires gutters</t>
  </si>
  <si>
    <t>concentrated animal feeding operations</t>
  </si>
  <si>
    <t>CAFO's are permitted.  gutters are a requirement of permits.  therefore 100% assumed.</t>
  </si>
  <si>
    <t>Conservation Tillage - Total Acres</t>
  </si>
  <si>
    <t>ConserveTillTotAcres</t>
  </si>
  <si>
    <t>hightill with manure</t>
  </si>
  <si>
    <t>Per B Clark increase Conservation Tilling to 70-80%. I used 70%, JK 1-12-12</t>
  </si>
  <si>
    <t>Continuous No Till</t>
  </si>
  <si>
    <t>ContinuousNT</t>
  </si>
  <si>
    <t>lowtill with manure</t>
  </si>
  <si>
    <t>Per B. Clark 1-12-12; concern this is limited to low till only</t>
  </si>
  <si>
    <t>Cover Crop Standard Drilled Rye</t>
  </si>
  <si>
    <t>CoverCropSDR</t>
  </si>
  <si>
    <t>Shenandoah, VA - Non-Federal</t>
  </si>
  <si>
    <t>Assume about 9000 acres will get cover crop per year (per Bobby Clark 1-12-12)</t>
  </si>
  <si>
    <t>hightill without manure</t>
  </si>
  <si>
    <t>Decision Agriculture Efficiency Version</t>
  </si>
  <si>
    <t>EffNutManDecAg</t>
  </si>
  <si>
    <t>alfalfa</t>
  </si>
  <si>
    <t xml:space="preserve">B. Clark 1-13-2012 </t>
  </si>
  <si>
    <t>hay with nutrients</t>
  </si>
  <si>
    <t>Forest Buffers</t>
  </si>
  <si>
    <t>ForestBuffers</t>
  </si>
  <si>
    <t>acres in buffers</t>
  </si>
  <si>
    <t>hay without nutrients</t>
  </si>
  <si>
    <t>pasture</t>
  </si>
  <si>
    <t>Assume 35% forest created by 70% pasture fencing (per B. Clark 1-12-12)</t>
  </si>
  <si>
    <t>Grass Buffers; Vegetated Open Channel - Agriculture</t>
  </si>
  <si>
    <t>GrassBuffers</t>
  </si>
  <si>
    <t>Increased all Grass and forest buffers from 0.11% to 3% JK and B Clark 1-12-12</t>
  </si>
  <si>
    <t>Same as forest in pasture - created from fecning exclusion</t>
  </si>
  <si>
    <t>Horse Pasture Management</t>
  </si>
  <si>
    <t>HorsePasMan</t>
  </si>
  <si>
    <t>B. Clark 1-12-2012</t>
  </si>
  <si>
    <t>Irrigation Water Capture Reuse</t>
  </si>
  <si>
    <t>CaptureReuse</t>
  </si>
  <si>
    <t>nursery</t>
  </si>
  <si>
    <t>we estimate there are no more than 5 acres of nurserys in the county.  40% (2 acres) will employ this BMP</t>
  </si>
  <si>
    <t>Land Retirement to hay without nutrients (HEL)</t>
  </si>
  <si>
    <t>LandRetireHyo</t>
  </si>
  <si>
    <t>Non Urban Stream Restoration</t>
  </si>
  <si>
    <t>NonUrbStrmRest</t>
  </si>
  <si>
    <t>feet</t>
  </si>
  <si>
    <t>We picked a couple representative land uses to represent all nonurban land uses - B. Clark, JK (Need to tell Alison)</t>
  </si>
  <si>
    <t>Off Stream Watering Without Fencing</t>
  </si>
  <si>
    <t>OSWnoFence</t>
  </si>
  <si>
    <t>extension office estimates that 10% of all pastureland will employ this BMP</t>
  </si>
  <si>
    <t>Prescribed Grazing</t>
  </si>
  <si>
    <t>PrecRotGrazing</t>
  </si>
  <si>
    <t>existing estimates seem reasonable according to extension office</t>
  </si>
  <si>
    <t>Soil Conservation and Water Quality Plans</t>
  </si>
  <si>
    <t>ConPlan</t>
  </si>
  <si>
    <t>estimates consistent with region.  recommended and confirmed as reasonable by extension</t>
  </si>
  <si>
    <t>Stream Access Control with Fencing</t>
  </si>
  <si>
    <t>PastFence</t>
  </si>
  <si>
    <t>degraded riparian pasture</t>
  </si>
  <si>
    <t>Consistent with regional recommendation chart.   "blue" column assumes 50% of stream in ag land with livestock; assumes 70% compliance with exclusion fencing. 1.6 mill linear ft pasture stream frontage at 70% fencing = 1.1 mill ft fenced total minus current 296,351 fencing = 856376 ft fenced</t>
  </si>
  <si>
    <t>Streamside Forest Buffers</t>
  </si>
  <si>
    <t>ForestBuffersTrp</t>
  </si>
  <si>
    <t>Streamside Grass Buffers</t>
  </si>
  <si>
    <t>GrassBuffersTrp</t>
  </si>
  <si>
    <t>Tier 1 Crop Group Nutrient Application Management Efficiency Version</t>
  </si>
  <si>
    <t>EffNutMan</t>
  </si>
  <si>
    <t>estimate according to extension office</t>
  </si>
  <si>
    <t>Tree Planting</t>
  </si>
  <si>
    <t>TreePlant</t>
  </si>
  <si>
    <t>Forest</t>
  </si>
  <si>
    <t>Dirt &amp; Gravel Road Erosion &amp; Sediment Control - with Outlets</t>
  </si>
  <si>
    <t>DirtGravelDSAOut</t>
  </si>
  <si>
    <t>harvested forest</t>
  </si>
  <si>
    <t>JK and BC 1-13-2012 assumption</t>
  </si>
  <si>
    <t>Forest Harvesting Practices</t>
  </si>
  <si>
    <t>ForHarvestBMP</t>
  </si>
  <si>
    <t>JK estimate, waiting for DOF response</t>
  </si>
  <si>
    <t>Urban</t>
  </si>
  <si>
    <t>Abandoned Mine Reclamation</t>
  </si>
  <si>
    <t>AbanMineRec</t>
  </si>
  <si>
    <t>CSS extractive</t>
  </si>
  <si>
    <t>assumption that by 2025 DMME will cleanup 5% of abandoned mines.  WIP I estimates .98%.</t>
  </si>
  <si>
    <t>nonregulated extractive</t>
  </si>
  <si>
    <t>regulated extractive</t>
  </si>
  <si>
    <t>Bioretention/raingardens - A/B soils, underdrain</t>
  </si>
  <si>
    <t>BioRetUDAB</t>
  </si>
  <si>
    <t>CSS impervious developed</t>
  </si>
  <si>
    <t>acres treated</t>
  </si>
  <si>
    <t>assume that 25% of new controlss will be raingardens.</t>
  </si>
  <si>
    <t>CSS pervious developed</t>
  </si>
  <si>
    <t>nonregulated impervious developed</t>
  </si>
  <si>
    <t>nonregulated pervious developed</t>
  </si>
  <si>
    <t>regulated impervious developed</t>
  </si>
  <si>
    <t>regulated pervious developed</t>
  </si>
  <si>
    <t>Dry Detention Ponds and Hydrodynamic Structures</t>
  </si>
  <si>
    <t>DryPonds</t>
  </si>
  <si>
    <t>Dry Extended Detention Ponds</t>
  </si>
  <si>
    <t>ExtDryPonds</t>
  </si>
  <si>
    <t>Street Sweeping 25 times a year-acres (formerly called Street Sweeping Mechanical Monthly)</t>
  </si>
  <si>
    <t>StreetSweep</t>
  </si>
  <si>
    <t>Assumption that 20% of all town street areas are already being swept.</t>
  </si>
  <si>
    <t>Urban Filtering Practices</t>
  </si>
  <si>
    <t>Filter</t>
  </si>
  <si>
    <t>Urban Forest Buffers</t>
  </si>
  <si>
    <t>ForestBufUrban</t>
  </si>
  <si>
    <t>assume 10% of stream frontage in urban areas already have urban forest buffer</t>
  </si>
  <si>
    <t>Urban Nutrient Management Plan</t>
  </si>
  <si>
    <t>UrbanNMPlan</t>
  </si>
  <si>
    <t>Urban Stream Restoration</t>
  </si>
  <si>
    <t>UrbStrmRest</t>
  </si>
  <si>
    <t>Jk and B Clark 1-13-2012 estimate 400 feet total stream restoration in towns.</t>
  </si>
  <si>
    <t>Urban Tree Planting; Urban Tree Canopy</t>
  </si>
  <si>
    <t>UrbanTreePlant</t>
  </si>
  <si>
    <t>Per agreement with DOF to increase canopy cover by 5% in the next 20 years.  JK 1-13-2012</t>
  </si>
  <si>
    <t>Wet Ponds and Wetlands</t>
  </si>
  <si>
    <t>WetPondWetland</t>
  </si>
  <si>
    <t>CountyName</t>
  </si>
  <si>
    <t>AnimalGroup</t>
  </si>
  <si>
    <t>NEfficiency</t>
  </si>
  <si>
    <t>PEfficiency</t>
  </si>
  <si>
    <t>AnimalUnitsCredited</t>
  </si>
  <si>
    <t xml:space="preserve">Poultry Phytase </t>
  </si>
  <si>
    <t>PoultryPhytase</t>
  </si>
  <si>
    <t>layers</t>
  </si>
  <si>
    <t>AFO and CAFO</t>
  </si>
  <si>
    <t>percent of animals</t>
  </si>
  <si>
    <t>broilers</t>
  </si>
  <si>
    <t>turkeys</t>
  </si>
  <si>
    <t>pullets</t>
  </si>
  <si>
    <t>Animal Waste Management System</t>
  </si>
  <si>
    <t>AWMS</t>
  </si>
  <si>
    <t>Livestock</t>
  </si>
  <si>
    <t>AFO</t>
  </si>
  <si>
    <t>estimate provided by lfswcd and ag extension</t>
  </si>
  <si>
    <t>Poultry</t>
  </si>
  <si>
    <t>CAFO</t>
  </si>
  <si>
    <t>Mortality Composters</t>
  </si>
  <si>
    <t>MortalityComp</t>
  </si>
  <si>
    <t>All Animals</t>
  </si>
  <si>
    <t>percent of dead animals</t>
  </si>
  <si>
    <t>Estimate provided by Bobby Clark (ag extension), Jed Rau (LFSWCD)</t>
  </si>
  <si>
    <t xml:space="preserve">Dairy Precision Feeding and/or Forage Management </t>
  </si>
  <si>
    <t>DairyPrecFeed</t>
  </si>
  <si>
    <t>dairy</t>
  </si>
  <si>
    <t>Poultry Litter Treatment (alum, for example)</t>
  </si>
  <si>
    <t>Alum</t>
  </si>
  <si>
    <t>Estimate Alum used in 25% of Broiler Houses in the County in the Winter Time</t>
  </si>
  <si>
    <t>SepticZone</t>
  </si>
  <si>
    <t>Septic Pumping</t>
  </si>
  <si>
    <t>SepticPump</t>
  </si>
  <si>
    <t>All Systems</t>
  </si>
  <si>
    <t>systems</t>
  </si>
  <si>
    <t>Septic Connection</t>
  </si>
  <si>
    <t>SepticConnect</t>
  </si>
  <si>
    <t>In Shen Co (per Joyce Fadley 1-12-12 conversation) there were 38 total septic connections (37 as of 2009 and 1 between 2009-2011).  Also per Scott Fincham VDH, 12-2-11 email there were 10,345 septics in County, not 12379 in VAST. 12,379 VAST corrected by 2,035 "connection"+ 38=2072. 2072/12379=16.7%</t>
  </si>
  <si>
    <t>Septic Denitrification</t>
  </si>
  <si>
    <t>SepticDenitrify</t>
  </si>
  <si>
    <t>Per VDH Scott Fincham 1-4-12 email, Shen County had 233 MicroFAST detrifying AOSS BMPs to add. 233/10345=2.25</t>
  </si>
  <si>
    <t>CountyFrom</t>
  </si>
  <si>
    <t>CountyTo</t>
  </si>
  <si>
    <t>TonsTransported</t>
  </si>
  <si>
    <t>Clarke, VA</t>
  </si>
  <si>
    <t>Warren, VA</t>
  </si>
  <si>
    <t>Frederick, VA</t>
  </si>
  <si>
    <t>R Clark 1-12-12</t>
  </si>
  <si>
    <t>Orange, VA</t>
  </si>
  <si>
    <t>Est B Clark 1-12-12</t>
  </si>
  <si>
    <t>Out of Watershed</t>
  </si>
  <si>
    <t>Estimate that a litter to energy system will be developed.  the Ash, Biochar will be transported out of the watershed.  J. Martin, BC and JK 1-13-2012</t>
  </si>
  <si>
    <t>For Review - Stormwater BMP's in Shenandoah's WIP</t>
  </si>
  <si>
    <t>x</t>
  </si>
  <si>
    <t>Column1</t>
  </si>
  <si>
    <t>Grand Total</t>
  </si>
  <si>
    <t>Ag</t>
  </si>
  <si>
    <t>Total Annualized Cost</t>
  </si>
  <si>
    <t>Oppourtunity</t>
  </si>
  <si>
    <t>Bioretention/raingardens A/B Soils</t>
  </si>
  <si>
    <t>BioRetUDAB Total</t>
  </si>
  <si>
    <t>DryPonds Total</t>
  </si>
  <si>
    <t>Dry Extended Deterntion Ponds</t>
  </si>
  <si>
    <t>ExtDryPonds Total</t>
  </si>
  <si>
    <t>Filter Total</t>
  </si>
  <si>
    <t>ForestBuffers Total</t>
  </si>
  <si>
    <t>Stream Side Forest Buffers</t>
  </si>
  <si>
    <t>ForestBuffersTrp Total</t>
  </si>
  <si>
    <t>ForestBufUrban Total</t>
  </si>
  <si>
    <t>Grass Buffers, Vegetated Open Channels</t>
  </si>
  <si>
    <t>GrassBuffers Total</t>
  </si>
  <si>
    <t>Stream Side Grass Buffers</t>
  </si>
  <si>
    <t>GrassBuffersTrp Total</t>
  </si>
  <si>
    <t>NonUrbStrmRest Total</t>
  </si>
  <si>
    <t xml:space="preserve">Street Sweeping </t>
  </si>
  <si>
    <t>StreetSweep Total</t>
  </si>
  <si>
    <t>TreePlant Total</t>
  </si>
  <si>
    <t>Urban Nutrient Managemet Plan</t>
  </si>
  <si>
    <t>UrbanNMPlan Total</t>
  </si>
  <si>
    <t>Urban Tree Planting, Urban Tree Canopy</t>
  </si>
  <si>
    <t>UrbanTreePlant Total</t>
  </si>
  <si>
    <t>UrbStrmRest Total</t>
  </si>
  <si>
    <t>WetPondWetland Total</t>
  </si>
  <si>
    <t>Total of Above</t>
  </si>
  <si>
    <t>Percentage of Total</t>
  </si>
  <si>
    <t>BMP Name</t>
  </si>
  <si>
    <t>Stormwater BMP's Only</t>
  </si>
  <si>
    <t>Total of Urban Above</t>
  </si>
  <si>
    <t>Total of AG above</t>
  </si>
  <si>
    <t>Current VAST  Total for Shenandoah</t>
  </si>
  <si>
    <t>$/acre</t>
  </si>
  <si>
    <t>$/acre/year</t>
  </si>
  <si>
    <t>Wetland Restoration</t>
  </si>
  <si>
    <t>$/feet/year</t>
  </si>
  <si>
    <t>$/feet</t>
  </si>
  <si>
    <t>Streamside Wetland Restoration</t>
  </si>
  <si>
    <t>Impervious Urban Surface Reduction</t>
  </si>
  <si>
    <t>$/acres/year</t>
  </si>
  <si>
    <t>Urban Grass Buffers</t>
  </si>
  <si>
    <t>Street Sweeping Pounds</t>
  </si>
  <si>
    <t>$/acres treated</t>
  </si>
  <si>
    <t>$/acre treated/year</t>
  </si>
  <si>
    <t>Urban Infiltration Practices w/o Sand, Veg. - A/B soils, no underdrain</t>
  </si>
  <si>
    <t>Urban Infiltration Practices w/ Sand, Veg. - A/B soils, no underdrain</t>
  </si>
  <si>
    <t>Bioswale</t>
  </si>
  <si>
    <t>Permeable Pavement w/ Sand, Veg. - A/B soils, underdrain</t>
  </si>
  <si>
    <t xml:space="preserve">$/acre treated </t>
  </si>
  <si>
    <t>Vegetated Open Channels - A/B soils, no underdrain</t>
  </si>
  <si>
    <t>Street Sweeping 25 times a year-lbs</t>
  </si>
  <si>
    <t>Vegetated Open Channels - C/D soils, no underdrain</t>
  </si>
  <si>
    <t>Permeable Pavement w/o Sand, Veg. - A/B soils, no underdrain</t>
  </si>
  <si>
    <t>Bioretention/raingardens - A/B soils, no underdrain</t>
  </si>
  <si>
    <t>Lifespan Years</t>
  </si>
  <si>
    <t>Capital Unit</t>
  </si>
  <si>
    <t>O&amp;M</t>
  </si>
  <si>
    <t>O&amp;M Unit</t>
  </si>
  <si>
    <t xml:space="preserve">Street Sweeping 25 times a year-acres </t>
  </si>
  <si>
    <t>Total WIP</t>
  </si>
  <si>
    <t>Design Industries</t>
  </si>
  <si>
    <t>Construction Industries</t>
  </si>
  <si>
    <t>Costs are the cost of all BMPs in a scenario and include historic BMP implementation, planned BMP implementation, and BMPs required by existing regulations. The cost is for the entire scenario for a single year. Costs are provided as cost per unit of BMP implemented. Many BMPs are applied in series, like a treatment train. Some BMPs are mutually exclusive with other BMPs. Therefore, one BMP may have a different effect on the loads depending on the other BMPs in the scenario. Costs are provided as the cost per scenario rather than the cost per pound of pollutant reduced.</t>
  </si>
  <si>
    <t>Commercial</t>
  </si>
  <si>
    <t>High</t>
  </si>
  <si>
    <t>BMP</t>
  </si>
  <si>
    <t>Green Roofs</t>
  </si>
  <si>
    <t>Harvest</t>
  </si>
  <si>
    <t>Impervious Area</t>
  </si>
  <si>
    <t>Permeable Pavement</t>
  </si>
  <si>
    <t>Bioretention</t>
  </si>
  <si>
    <t>Total</t>
  </si>
  <si>
    <t>IMPLAN SECTOR DESCRIPTION</t>
  </si>
  <si>
    <t>Design</t>
  </si>
  <si>
    <t>environmetnal and other technical services</t>
  </si>
  <si>
    <t>lanscape architecture</t>
  </si>
  <si>
    <t>Build</t>
  </si>
  <si>
    <t>new constructed non residential commercial and healthcare</t>
  </si>
  <si>
    <t>retail services - building material and garden supply</t>
  </si>
  <si>
    <t>services to buildings (includes landscaping)</t>
  </si>
  <si>
    <t>maintained and repaired nonresidential structures</t>
  </si>
  <si>
    <t>Residential</t>
  </si>
  <si>
    <t>new constructed residential</t>
  </si>
  <si>
    <t>maintained and repaired residential structures</t>
  </si>
  <si>
    <t>env. Engineering</t>
  </si>
  <si>
    <t>landscape architecture</t>
  </si>
  <si>
    <t>services to buildings landscaping</t>
  </si>
  <si>
    <t>maintained and repaired res structures</t>
  </si>
  <si>
    <t>maintained and repaired non res structures</t>
  </si>
  <si>
    <t>Greenhouses</t>
  </si>
  <si>
    <t>New res construction</t>
  </si>
  <si>
    <t>machinery leasing</t>
  </si>
  <si>
    <t>maintenance of equipment</t>
  </si>
  <si>
    <t>Gov enterprise</t>
  </si>
  <si>
    <t xml:space="preserve">Urban Stormwater Only </t>
  </si>
  <si>
    <t>Construction</t>
  </si>
  <si>
    <t>Design and Construction</t>
  </si>
  <si>
    <t>a</t>
  </si>
  <si>
    <t>b</t>
  </si>
  <si>
    <t>c</t>
  </si>
  <si>
    <t>d</t>
  </si>
  <si>
    <t>e</t>
  </si>
  <si>
    <t>commercial</t>
  </si>
  <si>
    <t>residential</t>
  </si>
  <si>
    <t>Project</t>
  </si>
  <si>
    <t>Maintenance</t>
  </si>
  <si>
    <t>Gov Enterprises Monitoring</t>
  </si>
  <si>
    <r>
      <rPr>
        <b/>
        <sz val="12"/>
        <rFont val="Times New Roman"/>
        <family val="1"/>
      </rPr>
      <t>Table 7.6 Costs for Stage 2 Implementation</t>
    </r>
  </si>
  <si>
    <r>
      <rPr>
        <b/>
        <sz val="11"/>
        <rFont val="Times New Roman"/>
        <family val="1"/>
      </rPr>
      <t>Item</t>
    </r>
  </si>
  <si>
    <r>
      <rPr>
        <b/>
        <sz val="11"/>
        <rFont val="Times New Roman"/>
        <family val="1"/>
      </rPr>
      <t>Cost ($)</t>
    </r>
  </si>
  <si>
    <r>
      <rPr>
        <b/>
        <sz val="11"/>
        <rFont val="Times New Roman"/>
        <family val="1"/>
      </rPr>
      <t>Year</t>
    </r>
  </si>
  <si>
    <r>
      <rPr>
        <b/>
        <sz val="11"/>
        <rFont val="Times New Roman"/>
        <family val="1"/>
      </rPr>
      <t>Stage 2 Total</t>
    </r>
  </si>
  <si>
    <r>
      <rPr>
        <b/>
        <sz val="11"/>
        <rFont val="Times New Roman"/>
        <family val="1"/>
      </rPr>
      <t>Personnel</t>
    </r>
  </si>
  <si>
    <r>
      <rPr>
        <sz val="11"/>
        <rFont val="Times New Roman"/>
        <family val="1"/>
      </rPr>
      <t>Pet waste education technician</t>
    </r>
  </si>
  <si>
    <r>
      <rPr>
        <sz val="11"/>
        <rFont val="Times New Roman"/>
        <family val="1"/>
      </rPr>
      <t>Sweeper/vacuum technician</t>
    </r>
  </si>
  <si>
    <r>
      <rPr>
        <sz val="11"/>
        <rFont val="Times New Roman"/>
        <family val="1"/>
      </rPr>
      <t>E&amp;S inspector</t>
    </r>
  </si>
  <si>
    <r>
      <rPr>
        <sz val="11"/>
        <rFont val="Times New Roman"/>
        <family val="1"/>
      </rPr>
      <t>Septic system technician</t>
    </r>
  </si>
  <si>
    <r>
      <rPr>
        <sz val="11"/>
        <rFont val="Times New Roman"/>
        <family val="1"/>
      </rPr>
      <t>Stormwater BMP technician</t>
    </r>
  </si>
  <si>
    <r>
      <rPr>
        <sz val="11"/>
        <rFont val="Times New Roman"/>
        <family val="1"/>
      </rPr>
      <t>Agricultural technician</t>
    </r>
  </si>
  <si>
    <r>
      <rPr>
        <b/>
        <sz val="11"/>
        <rFont val="Times New Roman"/>
        <family val="1"/>
      </rPr>
      <t>Practice Implementation</t>
    </r>
  </si>
  <si>
    <r>
      <rPr>
        <sz val="11"/>
        <rFont val="Times New Roman"/>
        <family val="1"/>
      </rPr>
      <t>Infiltration basin/trench</t>
    </r>
  </si>
  <si>
    <r>
      <rPr>
        <sz val="11"/>
        <rFont val="Times New Roman"/>
        <family val="1"/>
      </rPr>
      <t>(Rain garden/bioretention)</t>
    </r>
  </si>
  <si>
    <r>
      <rPr>
        <sz val="11"/>
        <rFont val="Times New Roman"/>
        <family val="1"/>
      </rPr>
      <t>Materials for pet waste education program</t>
    </r>
  </si>
  <si>
    <r>
      <rPr>
        <sz val="11"/>
        <rFont val="Times New Roman"/>
        <family val="1"/>
      </rPr>
      <t>Maintain/operate equipment for geese and duck waste clean-up</t>
    </r>
  </si>
  <si>
    <r>
      <rPr>
        <sz val="11"/>
        <rFont val="Times New Roman"/>
        <family val="1"/>
      </rPr>
      <t>Septic system replacement/repair</t>
    </r>
  </si>
  <si>
    <r>
      <rPr>
        <sz val="11"/>
        <rFont val="Times New Roman"/>
        <family val="1"/>
      </rPr>
      <t>Fencing with off-stream watering (SL-6 Grazing Land Protection)</t>
    </r>
  </si>
  <si>
    <r>
      <rPr>
        <sz val="11"/>
        <rFont val="Times New Roman"/>
        <family val="1"/>
      </rPr>
      <t>WP-2T (fencing)</t>
    </r>
  </si>
  <si>
    <r>
      <rPr>
        <sz val="11"/>
        <rFont val="Times New Roman"/>
        <family val="1"/>
      </rPr>
      <t>WP-2T (maintenance)</t>
    </r>
  </si>
  <si>
    <r>
      <rPr>
        <b/>
        <sz val="11"/>
        <rFont val="Times New Roman"/>
        <family val="1"/>
      </rPr>
      <t>Total</t>
    </r>
  </si>
  <si>
    <t>Years</t>
  </si>
  <si>
    <t>Impervious Urban Surface Reduction Total</t>
  </si>
  <si>
    <t>Urban Filtering Practices Total</t>
  </si>
  <si>
    <t>Urban Infiltration Practices w/o Sand, Veg. - A/B soils, no underdrain Total</t>
  </si>
  <si>
    <t>Urban Grass Buffers Total</t>
  </si>
  <si>
    <t>Clark Urban WIP IMPLAN Input</t>
  </si>
  <si>
    <t>Page County WIP IMPLAN Input</t>
  </si>
  <si>
    <t>envy. Engineering</t>
  </si>
  <si>
    <t>New construction non res</t>
  </si>
  <si>
    <t>retail services to building garden supply</t>
  </si>
  <si>
    <t>Shenandoah Urban WIP IMPLAN Input</t>
  </si>
  <si>
    <t>Design (From WERF, KING, EFC)</t>
  </si>
  <si>
    <t>TotalAnnualized Cost</t>
  </si>
  <si>
    <t>Shenandoah WIP, Public VAST</t>
  </si>
  <si>
    <t>Page WIP Budget in VAST</t>
  </si>
  <si>
    <t>Total for 6 years</t>
  </si>
  <si>
    <t>Opequon TMDL cost</t>
  </si>
  <si>
    <t>VA BMP Costs assigned to industries.  Per Acre</t>
  </si>
  <si>
    <t>Design % for Urban BMP Unit Costs excel file</t>
  </si>
  <si>
    <t>CWP 2007</t>
  </si>
  <si>
    <t>King</t>
  </si>
  <si>
    <t>-</t>
  </si>
  <si>
    <t>EFC, mix</t>
  </si>
  <si>
    <t>EFC Mix</t>
  </si>
  <si>
    <t>King and Hagen</t>
  </si>
  <si>
    <t>Spread sheet</t>
  </si>
  <si>
    <t>Acres</t>
  </si>
  <si>
    <t>EFC</t>
  </si>
  <si>
    <t>Direct</t>
  </si>
  <si>
    <t>I &amp; I Output</t>
  </si>
  <si>
    <t>N/A</t>
  </si>
  <si>
    <t>Employment Per Unit</t>
  </si>
  <si>
    <t>P</t>
  </si>
  <si>
    <t>N</t>
  </si>
  <si>
    <t>Sediment</t>
  </si>
  <si>
    <t xml:space="preserve"> Efficiency Rate</t>
  </si>
  <si>
    <t>Cap Employment</t>
  </si>
  <si>
    <t>O&amp;M Employment</t>
  </si>
  <si>
    <t>Land Use Only</t>
  </si>
  <si>
    <t>Low</t>
  </si>
  <si>
    <t>Middle</t>
  </si>
  <si>
    <t>Efficiency per Unit</t>
  </si>
  <si>
    <t>Regional</t>
  </si>
  <si>
    <t>Regulated</t>
  </si>
  <si>
    <t>NonRegulated</t>
  </si>
  <si>
    <t>Clark</t>
  </si>
  <si>
    <t>Federick</t>
  </si>
  <si>
    <t>Page</t>
  </si>
  <si>
    <t>Shenandoah</t>
  </si>
  <si>
    <t>Warren</t>
  </si>
  <si>
    <t>Winchester</t>
  </si>
  <si>
    <t>BMP Units Submitted Under VA 2025</t>
  </si>
  <si>
    <t>Determining O&amp;M</t>
  </si>
  <si>
    <t>Employment Per Unit (Region)</t>
  </si>
  <si>
    <t>Est Cost</t>
  </si>
  <si>
    <t>Est Direct Labor</t>
  </si>
  <si>
    <t>O&amp;M (VAST) Annual</t>
  </si>
  <si>
    <t>Units</t>
  </si>
  <si>
    <t>Estimating Direct Employment to Support O&amp;M</t>
  </si>
  <si>
    <t>BMP Units Submitted Under VA 2025 VAST</t>
  </si>
  <si>
    <t>Employment Per Unit is from IMPLAN Run on Regional Data Set for BMP Unit</t>
  </si>
  <si>
    <t>BMP units for each BMP are from units submitted and included in VA 2025 plan on VAST.  Acres by Region and by county were extracted from file and listed.</t>
  </si>
  <si>
    <t>Labor is annual, however reflects full build out of BMP's in plan</t>
  </si>
  <si>
    <t>Estimates of earlier levels can be made by applying an adjustment factor for percentage of completion to build out totals</t>
  </si>
  <si>
    <t>Region</t>
  </si>
  <si>
    <t>Colum B, each county labor is rounded to whole number</t>
  </si>
  <si>
    <t>Rounded</t>
  </si>
  <si>
    <t>Difference</t>
  </si>
  <si>
    <t>Total for Jurisdictions</t>
  </si>
  <si>
    <t>O&amp;M Labor Comparison</t>
  </si>
  <si>
    <t>Urban Tree Planiting and Buffers per unit labor was estimated</t>
  </si>
  <si>
    <t>BMP O&amp;M Unit</t>
  </si>
  <si>
    <t>Direct Employment Per Unit (Regional Data Set)</t>
  </si>
  <si>
    <t>NSVRC Jurisiditions and Region BMP Operations and Maintenance per Unit Chart Using VAST and IMPLAN</t>
  </si>
  <si>
    <t xml:space="preserve">Blue indicates Est Labor under 1 FTE </t>
  </si>
  <si>
    <t>Estimated Annual O&amp;M FTE</t>
  </si>
  <si>
    <t>2.  File - EFC Implan Analysis run on NSVRC Regional Data Set 2014</t>
  </si>
  <si>
    <t>Please enter the number of units treated by the BMP</t>
  </si>
  <si>
    <t>Name of BMP</t>
  </si>
  <si>
    <t>BMP Unit of Measure</t>
  </si>
  <si>
    <r>
      <t xml:space="preserve">O&amp;M Cost per Unit from VAST </t>
    </r>
    <r>
      <rPr>
        <b/>
        <vertAlign val="superscript"/>
        <sz val="9"/>
        <color rgb="FF000000"/>
        <rFont val="Calibri"/>
        <family val="2"/>
      </rPr>
      <t>1</t>
    </r>
  </si>
  <si>
    <r>
      <t xml:space="preserve">Direct O&amp;M Employment Per Unit (NSVRC Region) </t>
    </r>
    <r>
      <rPr>
        <b/>
        <vertAlign val="superscript"/>
        <sz val="11"/>
        <color rgb="FF000000"/>
        <rFont val="Calibri"/>
        <family val="2"/>
      </rPr>
      <t>2</t>
    </r>
  </si>
  <si>
    <t>1. VAST cost data and File NFWF Economic Analysis Shenandoah\20141204 Final Memo\[20141119 - O&amp;M Regional v. County Staffing.xlsx]Regional Staffing Costs'!$K$5</t>
  </si>
  <si>
    <t xml:space="preserve">EFC collaborative dashboard for Estimating Full Time Equivalent Operations and Maintenance for Urban Strormwater BMPs in the Northern Shenandoah Valley Region </t>
  </si>
  <si>
    <t>Results below and in next dashboard</t>
  </si>
  <si>
    <t>Type of BMP</t>
  </si>
  <si>
    <t>Number of Units</t>
  </si>
  <si>
    <t>Annual O&amp;M FTE</t>
  </si>
  <si>
    <t>FTE per unit</t>
  </si>
  <si>
    <t>Option 1</t>
  </si>
  <si>
    <t>Option 2</t>
  </si>
  <si>
    <t>VAST Useful Life</t>
  </si>
  <si>
    <t>Total FTE over useful life</t>
  </si>
  <si>
    <t>VAST Useful Life Years</t>
  </si>
  <si>
    <t>Scenario 1</t>
  </si>
  <si>
    <t>Scenario 2</t>
  </si>
  <si>
    <t>Scenario 3</t>
  </si>
  <si>
    <t>Total Acres Treated in Scenario</t>
  </si>
  <si>
    <t>Comparing O&amp;M FTE between two projects</t>
  </si>
  <si>
    <t>BMP Mix</t>
  </si>
  <si>
    <t>Scenario Total % - Mix of BMP's must equal 100%</t>
  </si>
  <si>
    <t>Total Scenario FTE</t>
  </si>
  <si>
    <t>Comparing O&amp;M FTE across Different BMP mix scenarios for a certain number of treated acres</t>
  </si>
  <si>
    <t>Resulting Estimated O&amp;M FTE below</t>
  </si>
  <si>
    <r>
      <t xml:space="preserve">Direct O&amp;M Employment Per Unit (NSVRC Region) </t>
    </r>
    <r>
      <rPr>
        <b/>
        <vertAlign val="superscript"/>
        <sz val="11"/>
        <color rgb="FF000000"/>
        <rFont val="Calibri"/>
        <family val="2"/>
      </rPr>
      <t>1</t>
    </r>
  </si>
  <si>
    <t>1.  EFC Implan Analysis run on NSVRC Regional Data Set 2014 using VAST cost data and EFC File NFWF Economic Analysis Shenandoah\20141204 Final Memo\[20141119 - O&amp;M Regional v. County Staffing.xlsx]</t>
  </si>
  <si>
    <t>User selection areas in Blue</t>
  </si>
  <si>
    <t>User Entry</t>
  </si>
  <si>
    <t>The user has the option to select the type of BMP for each scenario and the user enters the number of acres treated under each option.</t>
  </si>
  <si>
    <t>When a user enters the numbers of acres treated by a BMP, the dashboard will return the estimated annual O&amp;M FTE to support the inputted number of acres treated</t>
  </si>
  <si>
    <t>This sheet enables a user to compare the Annual BMP O&amp;M FTE across two project scenarios.</t>
  </si>
  <si>
    <t>Comparing O&amp;M FTE between two projects in the Northern Shenandoah Valley Region</t>
  </si>
  <si>
    <t>Comparing O&amp;M FTE across Different BMP mix scenarios for a certain number of treated acres in the Northern Shenandoah Valley Region</t>
  </si>
  <si>
    <r>
      <rPr>
        <b/>
        <i/>
        <sz val="11"/>
        <color rgb="FF000000"/>
        <rFont val="Calibri"/>
        <family val="2"/>
      </rPr>
      <t>User input:</t>
    </r>
    <r>
      <rPr>
        <i/>
        <sz val="11"/>
        <color rgb="FF000000"/>
        <rFont val="Calibri"/>
        <family val="2"/>
      </rPr>
      <t xml:space="preserve">  Number of acres treated</t>
    </r>
  </si>
  <si>
    <r>
      <rPr>
        <b/>
        <i/>
        <sz val="11"/>
        <color rgb="FF000000"/>
        <rFont val="Calibri"/>
        <family val="2"/>
      </rPr>
      <t>User input and selection:</t>
    </r>
    <r>
      <rPr>
        <i/>
        <sz val="11"/>
        <color rgb="FF000000"/>
        <rFont val="Calibri"/>
        <family val="2"/>
      </rPr>
      <t xml:space="preserve">  Number of acres treated for each scenario.  Select BMP type for each scenario</t>
    </r>
  </si>
  <si>
    <t>By way of example, if a user enters 100 acres treated, then the user can see what the total FTE is by comparing a scenario with 100% of a certain BMP to a scenario in which 5 BMP's are selected of equal weight.</t>
  </si>
  <si>
    <r>
      <rPr>
        <b/>
        <i/>
        <sz val="11"/>
        <color rgb="FF000000"/>
        <rFont val="Calibri"/>
        <family val="2"/>
      </rPr>
      <t>User input:</t>
    </r>
    <r>
      <rPr>
        <sz val="11"/>
        <color rgb="FF000000"/>
        <rFont val="Calibri"/>
        <family val="2"/>
      </rPr>
      <t xml:space="preserve">  The user enters the number of acres.  The user then has the option for three scenarios.  The user then enters the percentages of BMP's used in each scenario to treat the entered number of acres.  </t>
    </r>
  </si>
  <si>
    <r>
      <rPr>
        <b/>
        <i/>
        <sz val="11"/>
        <color rgb="FF000000"/>
        <rFont val="Calibri"/>
        <family val="2"/>
      </rPr>
      <t>Possible Use:</t>
    </r>
    <r>
      <rPr>
        <sz val="11"/>
        <color rgb="FF000000"/>
        <rFont val="Calibri"/>
        <family val="2"/>
      </rPr>
      <t xml:space="preserve">  When a user needs to select between two projects with all other factors such as cost and efficiency being equal.  This dashboard will enable the user to compare the estimated operation and maintenance requirement difference between the options.</t>
    </r>
  </si>
  <si>
    <r>
      <rPr>
        <b/>
        <i/>
        <sz val="11"/>
        <color rgb="FF000000"/>
        <rFont val="Calibri"/>
        <family val="2"/>
      </rPr>
      <t>Possible Use:</t>
    </r>
    <r>
      <rPr>
        <sz val="11"/>
        <color rgb="FF000000"/>
        <rFont val="Calibri"/>
        <family val="2"/>
      </rPr>
      <t xml:space="preserve">  When a user is faced with a known amount of urban acres which needs treated, this dashboard will enable the user to compare planning level estimates of O&amp;M FTE levels across different mixes of BMP's.  This FTE information can then be used as context with other scenario discussions and decisions based on local constraints and factors such as cost, efficiency, land characteristics, and other local social, political, and engineering factors.</t>
    </r>
  </si>
  <si>
    <t>Overview of Dashboards</t>
  </si>
  <si>
    <t>Dashboard #1</t>
  </si>
  <si>
    <t>Dashboard #3</t>
  </si>
  <si>
    <t>This sheet enables a user to estimate operations and maintenance FTE for a given number of acres treated.</t>
  </si>
  <si>
    <t>Dashboard #2</t>
  </si>
  <si>
    <t>This sheet enables a user to compare total O&amp;M FTEs across different BMP mix scenarios which each treat the same number of total acres.</t>
  </si>
  <si>
    <t xml:space="preserve">Estimating Annual Operations and Maintenance (O&amp;M) Full Time Equivalent (FTE) for Urban Stormwater BMPs in the Northern Shenandoah Valley Region </t>
  </si>
  <si>
    <t xml:space="preserve">EFC collaborative dashboard for Estimating Full Time Equivalent Operations and Maintenance for Urban Stormwater BMPs in the Northern Shenandoah Valley Region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</si>
</sst>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0;#,##0"/>
    <numFmt numFmtId="168" formatCode="0.0000"/>
    <numFmt numFmtId="169" formatCode="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theme="1"/>
      <name val="Calibri"/>
      <family val="2"/>
      <scheme val="minor"/>
    </font>
    <font>
      <b/>
      <sz val="11"/>
      <color rgb="FF000000"/>
      <name val="Calibri"/>
      <family val="2"/>
    </font>
    <font>
      <b/>
      <sz val="12"/>
      <color theme="1"/>
      <name val="Times New Roman"/>
      <family val="1"/>
    </font>
    <font>
      <sz val="12"/>
      <color theme="1"/>
      <name val="Times New Roman"/>
      <family val="1"/>
    </font>
    <font>
      <b/>
      <u/>
      <sz val="11"/>
      <color rgb="FF000000"/>
      <name val="Calibri"/>
      <family val="2"/>
    </font>
    <font>
      <b/>
      <sz val="12"/>
      <name val="Times New Roman"/>
      <family val="1"/>
    </font>
    <font>
      <b/>
      <sz val="11"/>
      <name val="Times New Roman"/>
      <family val="1"/>
    </font>
    <font>
      <b/>
      <sz val="11"/>
      <color rgb="FF000000"/>
      <name val="Times New Roman"/>
      <family val="2"/>
    </font>
    <font>
      <sz val="11"/>
      <name val="Times New Roman"/>
      <family val="1"/>
    </font>
    <font>
      <sz val="11"/>
      <color rgb="FF000000"/>
      <name val="Times New Roman"/>
      <family val="2"/>
    </font>
    <font>
      <b/>
      <sz val="16"/>
      <color rgb="FF000000"/>
      <name val="Calibri"/>
      <family val="2"/>
    </font>
    <font>
      <b/>
      <sz val="12"/>
      <color rgb="FF000000"/>
      <name val="Calibri"/>
      <family val="2"/>
    </font>
    <font>
      <b/>
      <u/>
      <sz val="16"/>
      <color rgb="FF000000"/>
      <name val="Calibri"/>
      <family val="2"/>
    </font>
    <font>
      <b/>
      <vertAlign val="superscript"/>
      <sz val="9"/>
      <color rgb="FF000000"/>
      <name val="Calibri"/>
      <family val="2"/>
    </font>
    <font>
      <b/>
      <vertAlign val="superscript"/>
      <sz val="11"/>
      <color rgb="FF000000"/>
      <name val="Calibri"/>
      <family val="2"/>
    </font>
    <font>
      <b/>
      <sz val="14"/>
      <color rgb="FF000000"/>
      <name val="Calibri"/>
      <family val="2"/>
    </font>
    <font>
      <i/>
      <sz val="11"/>
      <color rgb="FF000000"/>
      <name val="Calibri"/>
      <family val="2"/>
    </font>
    <font>
      <b/>
      <i/>
      <sz val="11"/>
      <color rgb="FF000000"/>
      <name val="Calibri"/>
      <family val="2"/>
    </font>
    <font>
      <b/>
      <sz val="18"/>
      <color rgb="FF000000"/>
      <name val="Calibri"/>
      <family val="2"/>
    </font>
    <font>
      <b/>
      <i/>
      <sz val="9"/>
      <color rgb="FF000000"/>
      <name val="Calibri"/>
      <family val="2"/>
    </font>
    <font>
      <sz val="11"/>
      <color theme="0"/>
      <name val="Calibri"/>
      <family val="2"/>
    </font>
    <font>
      <b/>
      <sz val="11"/>
      <color theme="0"/>
      <name val="Calibri"/>
      <family val="2"/>
    </font>
    <font>
      <i/>
      <sz val="9"/>
      <color rgb="FF000000"/>
      <name val="Calibri"/>
      <family val="2"/>
    </font>
    <font>
      <b/>
      <sz val="11"/>
      <color theme="4" tint="-0.499984740745262"/>
      <name val="Calibri"/>
      <family val="2"/>
    </font>
    <font>
      <b/>
      <sz val="20"/>
      <color rgb="FF000000"/>
      <name val="Calibri"/>
      <family val="2"/>
    </font>
  </fonts>
  <fills count="29">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lightUp">
        <fgColor auto="1"/>
      </patternFill>
    </fill>
    <fill>
      <patternFill patternType="lightUp"/>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tint="-0.249977111117893"/>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pplyNumberFormat="0" applyBorder="0" applyAlignment="0"/>
    <xf numFmtId="0" fontId="3" fillId="0" borderId="0"/>
    <xf numFmtId="0" fontId="4" fillId="0" borderId="0" applyNumberFormat="0" applyBorder="0" applyAlignment="0"/>
    <xf numFmtId="0" fontId="4" fillId="0" borderId="0" applyNumberFormat="0" applyBorder="0" applyAlignment="0"/>
    <xf numFmtId="44" fontId="4" fillId="0" borderId="0" applyFont="0" applyFill="0" applyBorder="0" applyAlignment="0" applyProtection="0"/>
  </cellStyleXfs>
  <cellXfs count="330">
    <xf numFmtId="0" fontId="0" fillId="0" borderId="0" xfId="0" applyFill="1" applyProtection="1"/>
    <xf numFmtId="0" fontId="4" fillId="0" borderId="0" xfId="2" applyFill="1" applyProtection="1"/>
    <xf numFmtId="164" fontId="0" fillId="0" borderId="0" xfId="0" applyNumberFormat="1" applyFill="1" applyProtection="1"/>
    <xf numFmtId="3" fontId="0" fillId="0" borderId="0" xfId="0" applyNumberFormat="1" applyFill="1" applyProtection="1"/>
    <xf numFmtId="10" fontId="0" fillId="0" borderId="0" xfId="0" applyNumberFormat="1" applyFill="1" applyProtection="1"/>
    <xf numFmtId="0" fontId="3" fillId="0" borderId="0" xfId="1"/>
    <xf numFmtId="164" fontId="3" fillId="0" borderId="0" xfId="1" applyNumberFormat="1"/>
    <xf numFmtId="0" fontId="6" fillId="0" borderId="0" xfId="0" applyFont="1" applyFill="1" applyAlignment="1" applyProtection="1">
      <alignment horizontal="center" vertical="center" wrapText="1"/>
    </xf>
    <xf numFmtId="0" fontId="0" fillId="0" borderId="0" xfId="0" applyFill="1" applyAlignment="1" applyProtection="1">
      <alignment horizontal="center" vertical="center" wrapText="1"/>
    </xf>
    <xf numFmtId="0" fontId="5" fillId="0" borderId="0" xfId="1" applyFont="1" applyAlignment="1">
      <alignment horizontal="center" vertical="center" wrapText="1"/>
    </xf>
    <xf numFmtId="0" fontId="3" fillId="2" borderId="0" xfId="1" applyFill="1"/>
    <xf numFmtId="0" fontId="0" fillId="2" borderId="0" xfId="0" applyFill="1" applyProtection="1"/>
    <xf numFmtId="164" fontId="0" fillId="2" borderId="0" xfId="0" applyNumberFormat="1" applyFill="1" applyProtection="1"/>
    <xf numFmtId="10" fontId="0" fillId="2" borderId="0" xfId="0" applyNumberFormat="1" applyFill="1" applyProtection="1"/>
    <xf numFmtId="0" fontId="6" fillId="4" borderId="0" xfId="0" applyFont="1" applyFill="1" applyAlignment="1" applyProtection="1">
      <alignment horizontal="center" vertical="center" wrapText="1"/>
    </xf>
    <xf numFmtId="0" fontId="0" fillId="4" borderId="0" xfId="0" applyFill="1" applyProtection="1"/>
    <xf numFmtId="3" fontId="0" fillId="4" borderId="0" xfId="0" applyNumberFormat="1" applyFill="1" applyProtection="1"/>
    <xf numFmtId="0" fontId="5" fillId="5" borderId="0" xfId="1" applyFont="1" applyFill="1" applyAlignment="1">
      <alignment horizontal="center" vertical="center" wrapText="1"/>
    </xf>
    <xf numFmtId="164" fontId="3" fillId="5" borderId="0" xfId="1" applyNumberFormat="1" applyFill="1"/>
    <xf numFmtId="0" fontId="3" fillId="0" borderId="0" xfId="1" applyAlignment="1">
      <alignment horizontal="center"/>
    </xf>
    <xf numFmtId="164" fontId="3" fillId="0" borderId="0" xfId="1" applyNumberFormat="1" applyAlignment="1">
      <alignment horizontal="center"/>
    </xf>
    <xf numFmtId="0" fontId="0" fillId="0" borderId="0" xfId="0" applyFill="1" applyAlignment="1" applyProtection="1">
      <alignment horizontal="center"/>
    </xf>
    <xf numFmtId="0" fontId="6" fillId="6" borderId="0" xfId="0" applyFont="1" applyFill="1" applyAlignment="1" applyProtection="1">
      <alignment horizontal="center"/>
    </xf>
    <xf numFmtId="0" fontId="0" fillId="0" borderId="0" xfId="0" applyFill="1" applyAlignment="1" applyProtection="1">
      <alignment horizontal="center" vertical="center"/>
    </xf>
    <xf numFmtId="0" fontId="5" fillId="6" borderId="0" xfId="1" applyFont="1" applyFill="1" applyAlignment="1">
      <alignment horizontal="center" vertical="center" wrapText="1"/>
    </xf>
    <xf numFmtId="164" fontId="0" fillId="0" borderId="0" xfId="0" applyNumberFormat="1" applyFill="1" applyAlignment="1" applyProtection="1">
      <alignment horizontal="center"/>
    </xf>
    <xf numFmtId="0" fontId="0" fillId="0" borderId="0" xfId="0" applyFill="1" applyAlignment="1" applyProtection="1">
      <alignment horizontal="center"/>
    </xf>
    <xf numFmtId="0" fontId="0" fillId="0" borderId="0" xfId="0"/>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vertical="center" wrapText="1"/>
    </xf>
    <xf numFmtId="9" fontId="8" fillId="0" borderId="0" xfId="0" applyNumberFormat="1" applyFont="1" applyAlignment="1">
      <alignment vertical="center" wrapText="1"/>
    </xf>
    <xf numFmtId="42" fontId="5"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42" fontId="8" fillId="0" borderId="0" xfId="4" applyNumberFormat="1" applyFont="1" applyAlignment="1">
      <alignment vertical="center" wrapText="1"/>
    </xf>
    <xf numFmtId="42" fontId="8" fillId="0" borderId="0" xfId="0" applyNumberFormat="1" applyFont="1" applyAlignment="1">
      <alignmen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8" fillId="7" borderId="0" xfId="0" applyFont="1" applyFill="1" applyAlignment="1">
      <alignment horizontal="right" vertical="center" wrapText="1"/>
    </xf>
    <xf numFmtId="0" fontId="8" fillId="7" borderId="0" xfId="0" applyFont="1" applyFill="1" applyAlignment="1">
      <alignment vertical="center" wrapText="1"/>
    </xf>
    <xf numFmtId="0" fontId="0" fillId="0" borderId="0" xfId="0" applyAlignment="1">
      <alignment vertical="center" wrapText="1"/>
    </xf>
    <xf numFmtId="44" fontId="8" fillId="0" borderId="0" xfId="0" applyNumberFormat="1" applyFont="1" applyAlignment="1">
      <alignment vertical="center" wrapText="1"/>
    </xf>
    <xf numFmtId="42" fontId="0" fillId="0" borderId="0" xfId="0" applyNumberFormat="1" applyAlignment="1">
      <alignment vertical="center" wrapText="1"/>
    </xf>
    <xf numFmtId="0" fontId="5" fillId="7" borderId="0" xfId="0" applyFont="1" applyFill="1" applyAlignment="1">
      <alignment vertical="center" wrapText="1"/>
    </xf>
    <xf numFmtId="0" fontId="3" fillId="7" borderId="0" xfId="1" applyFill="1" applyAlignment="1">
      <alignment horizontal="center"/>
    </xf>
    <xf numFmtId="0" fontId="3" fillId="8" borderId="0" xfId="1" applyFill="1" applyAlignment="1">
      <alignment horizontal="center"/>
    </xf>
    <xf numFmtId="0" fontId="3" fillId="9" borderId="0" xfId="1" applyFill="1" applyAlignment="1">
      <alignment horizontal="center"/>
    </xf>
    <xf numFmtId="0" fontId="2" fillId="0" borderId="0" xfId="1" applyFont="1" applyFill="1" applyAlignment="1">
      <alignment horizontal="center"/>
    </xf>
    <xf numFmtId="0" fontId="0" fillId="0" borderId="3" xfId="0" applyFill="1" applyBorder="1" applyProtection="1"/>
    <xf numFmtId="0" fontId="0" fillId="0" borderId="4" xfId="0" applyFill="1" applyBorder="1" applyProtection="1"/>
    <xf numFmtId="9" fontId="6" fillId="0" borderId="3" xfId="0" applyNumberFormat="1" applyFont="1" applyFill="1" applyBorder="1" applyAlignment="1" applyProtection="1">
      <alignment horizontal="center" wrapText="1"/>
    </xf>
    <xf numFmtId="9" fontId="6" fillId="0" borderId="4" xfId="0" applyNumberFormat="1" applyFont="1" applyFill="1" applyBorder="1" applyAlignment="1" applyProtection="1">
      <alignment horizontal="center" wrapText="1"/>
    </xf>
    <xf numFmtId="9" fontId="0" fillId="0" borderId="3" xfId="0" applyNumberFormat="1" applyFill="1" applyBorder="1" applyAlignment="1" applyProtection="1">
      <alignment horizontal="center"/>
    </xf>
    <xf numFmtId="9" fontId="0" fillId="0" borderId="4" xfId="0" applyNumberFormat="1" applyFill="1" applyBorder="1" applyAlignment="1" applyProtection="1">
      <alignment horizontal="center"/>
    </xf>
    <xf numFmtId="165" fontId="0" fillId="0" borderId="3" xfId="0" applyNumberFormat="1" applyFill="1" applyBorder="1" applyProtection="1"/>
    <xf numFmtId="165" fontId="0" fillId="0" borderId="4" xfId="0" applyNumberFormat="1" applyFill="1" applyBorder="1" applyProtection="1"/>
    <xf numFmtId="164" fontId="0" fillId="0" borderId="5" xfId="0" applyNumberFormat="1" applyFill="1" applyBorder="1" applyAlignment="1" applyProtection="1">
      <alignment horizontal="center"/>
    </xf>
    <xf numFmtId="164" fontId="0" fillId="0" borderId="6" xfId="0" applyNumberFormat="1" applyFill="1" applyBorder="1" applyAlignment="1" applyProtection="1">
      <alignment horizontal="center"/>
    </xf>
    <xf numFmtId="0" fontId="0" fillId="0" borderId="0" xfId="0" applyFill="1" applyBorder="1" applyProtection="1"/>
    <xf numFmtId="9" fontId="6" fillId="0" borderId="0" xfId="0" applyNumberFormat="1" applyFont="1" applyFill="1" applyBorder="1" applyAlignment="1" applyProtection="1">
      <alignment horizontal="center" wrapText="1"/>
    </xf>
    <xf numFmtId="9" fontId="0" fillId="0" borderId="3" xfId="0" applyNumberFormat="1" applyFill="1" applyBorder="1" applyProtection="1"/>
    <xf numFmtId="9" fontId="0" fillId="0" borderId="0" xfId="0" applyNumberFormat="1" applyFill="1" applyBorder="1" applyProtection="1"/>
    <xf numFmtId="165" fontId="0" fillId="0" borderId="0" xfId="0" applyNumberFormat="1" applyFill="1" applyBorder="1" applyProtection="1"/>
    <xf numFmtId="164" fontId="0" fillId="0" borderId="4" xfId="0" applyNumberFormat="1" applyFill="1" applyBorder="1" applyProtection="1"/>
    <xf numFmtId="164" fontId="0" fillId="0" borderId="8" xfId="0" applyNumberFormat="1" applyFill="1" applyBorder="1" applyAlignment="1" applyProtection="1">
      <alignment horizontal="center"/>
    </xf>
    <xf numFmtId="0" fontId="0" fillId="0" borderId="5" xfId="0" applyFill="1" applyBorder="1" applyProtection="1"/>
    <xf numFmtId="0" fontId="0" fillId="0" borderId="8" xfId="0" applyFill="1" applyBorder="1" applyProtection="1"/>
    <xf numFmtId="0" fontId="0" fillId="0" borderId="6" xfId="0" applyFill="1" applyBorder="1" applyProtection="1"/>
    <xf numFmtId="9" fontId="0" fillId="0" borderId="0" xfId="0" applyNumberFormat="1" applyFill="1" applyAlignment="1" applyProtection="1">
      <alignment horizontal="center" vertical="center"/>
    </xf>
    <xf numFmtId="0" fontId="0" fillId="12" borderId="0" xfId="0" applyFill="1" applyAlignment="1" applyProtection="1">
      <alignment horizontal="center" vertical="center" wrapText="1"/>
    </xf>
    <xf numFmtId="0" fontId="0" fillId="0" borderId="0" xfId="0" applyFill="1" applyAlignment="1" applyProtection="1">
      <alignment horizontal="center" vertical="center" wrapText="1"/>
    </xf>
    <xf numFmtId="0" fontId="9" fillId="13" borderId="4" xfId="0" applyFont="1" applyFill="1" applyBorder="1" applyProtection="1"/>
    <xf numFmtId="0" fontId="9" fillId="13" borderId="3" xfId="0" applyFont="1" applyFill="1" applyBorder="1" applyProtection="1"/>
    <xf numFmtId="0" fontId="9" fillId="13" borderId="0" xfId="0" applyFont="1" applyFill="1" applyBorder="1" applyProtection="1"/>
    <xf numFmtId="0" fontId="0" fillId="14" borderId="0" xfId="0" applyFill="1" applyAlignment="1" applyProtection="1">
      <alignment horizontal="center" vertical="center" wrapText="1"/>
    </xf>
    <xf numFmtId="0" fontId="9" fillId="14" borderId="0" xfId="0" applyFont="1" applyFill="1" applyAlignment="1" applyProtection="1">
      <alignment horizontal="center" vertical="center"/>
    </xf>
    <xf numFmtId="0" fontId="0" fillId="0" borderId="0" xfId="0" applyFill="1" applyBorder="1" applyAlignment="1" applyProtection="1">
      <alignment horizontal="center" vertical="center" wrapText="1"/>
    </xf>
    <xf numFmtId="9" fontId="6" fillId="13" borderId="2" xfId="0" applyNumberFormat="1" applyFont="1" applyFill="1" applyBorder="1" applyAlignment="1" applyProtection="1">
      <alignment horizontal="center" wrapText="1"/>
    </xf>
    <xf numFmtId="9" fontId="6" fillId="13" borderId="1" xfId="0" applyNumberFormat="1" applyFont="1" applyFill="1" applyBorder="1" applyAlignment="1" applyProtection="1">
      <alignment horizontal="center" wrapText="1"/>
    </xf>
    <xf numFmtId="9" fontId="6" fillId="13" borderId="7" xfId="0" applyNumberFormat="1" applyFont="1" applyFill="1" applyBorder="1" applyAlignment="1" applyProtection="1">
      <alignment horizontal="center" wrapText="1"/>
    </xf>
    <xf numFmtId="0" fontId="10" fillId="0" borderId="0" xfId="0" applyFont="1" applyFill="1" applyBorder="1" applyAlignment="1">
      <alignment horizontal="left" vertical="top"/>
    </xf>
    <xf numFmtId="0" fontId="0" fillId="0" borderId="0" xfId="0" applyFill="1" applyBorder="1" applyAlignment="1">
      <alignment horizontal="left" vertical="top"/>
    </xf>
    <xf numFmtId="0" fontId="6" fillId="0" borderId="0" xfId="0" applyFont="1" applyFill="1" applyAlignment="1" applyProtection="1">
      <alignment horizontal="center" vertical="center"/>
    </xf>
    <xf numFmtId="0" fontId="0" fillId="13" borderId="0" xfId="0" applyFill="1" applyAlignment="1" applyProtection="1">
      <alignment horizontal="center" vertical="center"/>
    </xf>
    <xf numFmtId="0" fontId="0" fillId="14" borderId="0" xfId="0" applyFill="1" applyAlignment="1" applyProtection="1">
      <alignment horizontal="center" vertical="center"/>
    </xf>
    <xf numFmtId="0" fontId="6" fillId="0" borderId="0" xfId="0" applyFont="1" applyFill="1" applyProtection="1"/>
    <xf numFmtId="0" fontId="1" fillId="7" borderId="0" xfId="1" applyFont="1" applyFill="1" applyAlignment="1">
      <alignment horizontal="center"/>
    </xf>
    <xf numFmtId="0" fontId="1" fillId="9" borderId="0" xfId="1" applyFont="1" applyFill="1" applyAlignment="1">
      <alignment horizontal="center"/>
    </xf>
    <xf numFmtId="0" fontId="0" fillId="0" borderId="3" xfId="0" applyFill="1" applyBorder="1" applyAlignment="1" applyProtection="1">
      <alignment horizontal="center"/>
    </xf>
    <xf numFmtId="0" fontId="0" fillId="0" borderId="4" xfId="0" applyFill="1" applyBorder="1" applyAlignment="1" applyProtection="1">
      <alignment horizontal="center"/>
    </xf>
    <xf numFmtId="0" fontId="0" fillId="0" borderId="0" xfId="0" applyFill="1" applyBorder="1" applyAlignment="1" applyProtection="1">
      <alignment horizontal="center"/>
    </xf>
    <xf numFmtId="9" fontId="0" fillId="0" borderId="0" xfId="0" applyNumberFormat="1" applyFill="1" applyBorder="1" applyAlignment="1" applyProtection="1">
      <alignment horizontal="center"/>
    </xf>
    <xf numFmtId="9" fontId="6" fillId="0" borderId="3" xfId="0" applyNumberFormat="1" applyFont="1" applyFill="1" applyBorder="1" applyAlignment="1" applyProtection="1">
      <alignment horizontal="center" vertical="center" wrapText="1"/>
    </xf>
    <xf numFmtId="9" fontId="6" fillId="0" borderId="4" xfId="0" applyNumberFormat="1" applyFont="1" applyFill="1" applyBorder="1" applyAlignment="1" applyProtection="1">
      <alignment horizontal="center" vertical="center" wrapText="1"/>
    </xf>
    <xf numFmtId="9" fontId="6" fillId="0" borderId="0" xfId="0" applyNumberFormat="1" applyFont="1" applyFill="1" applyBorder="1" applyAlignment="1" applyProtection="1">
      <alignment horizontal="center" vertical="center" wrapText="1"/>
    </xf>
    <xf numFmtId="0" fontId="0" fillId="0" borderId="0" xfId="0" applyFill="1" applyAlignment="1" applyProtection="1">
      <alignment vertical="center"/>
    </xf>
    <xf numFmtId="0" fontId="6" fillId="0" borderId="0" xfId="0" applyFont="1" applyFill="1" applyAlignment="1" applyProtection="1">
      <alignment horizontal="center"/>
    </xf>
    <xf numFmtId="164" fontId="6" fillId="0" borderId="0" xfId="0" applyNumberFormat="1" applyFont="1" applyFill="1" applyAlignment="1" applyProtection="1">
      <alignment horizontal="center"/>
    </xf>
    <xf numFmtId="0" fontId="6" fillId="0" borderId="5" xfId="0" applyFont="1" applyFill="1" applyBorder="1" applyProtection="1"/>
    <xf numFmtId="0" fontId="6" fillId="0" borderId="8" xfId="0" applyFont="1" applyFill="1" applyBorder="1" applyProtection="1"/>
    <xf numFmtId="0" fontId="6" fillId="0" borderId="6" xfId="0" applyFont="1" applyFill="1" applyBorder="1" applyProtection="1"/>
    <xf numFmtId="0" fontId="3" fillId="12" borderId="0" xfId="1" applyFill="1" applyAlignment="1">
      <alignment horizontal="center"/>
    </xf>
    <xf numFmtId="0" fontId="3" fillId="0" borderId="0" xfId="1" applyAlignment="1">
      <alignment horizontal="center" vertical="center" wrapText="1"/>
    </xf>
    <xf numFmtId="0" fontId="3" fillId="12" borderId="0" xfId="1" applyFill="1" applyAlignment="1">
      <alignment horizontal="center" vertical="center" wrapText="1"/>
    </xf>
    <xf numFmtId="164" fontId="3" fillId="0" borderId="0" xfId="1" applyNumberFormat="1" applyAlignment="1">
      <alignment horizontal="center" vertical="center" wrapText="1"/>
    </xf>
    <xf numFmtId="165" fontId="0" fillId="0" borderId="3" xfId="0" applyNumberFormat="1" applyFill="1" applyBorder="1" applyAlignment="1" applyProtection="1">
      <alignment horizontal="center" vertical="center" wrapText="1"/>
    </xf>
    <xf numFmtId="165" fontId="0" fillId="0" borderId="4" xfId="0" applyNumberFormat="1" applyFill="1" applyBorder="1" applyAlignment="1" applyProtection="1">
      <alignment horizontal="center" vertical="center" wrapText="1"/>
    </xf>
    <xf numFmtId="165" fontId="0" fillId="0" borderId="0" xfId="0" applyNumberFormat="1"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0" fillId="0" borderId="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4" xfId="0" applyFill="1" applyBorder="1" applyAlignment="1" applyProtection="1">
      <alignment vertical="center" wrapText="1"/>
    </xf>
    <xf numFmtId="0" fontId="0" fillId="0" borderId="0" xfId="0" applyFill="1" applyAlignment="1" applyProtection="1">
      <alignment vertical="center" wrapText="1"/>
    </xf>
    <xf numFmtId="0" fontId="1" fillId="12" borderId="0" xfId="1" applyFont="1" applyFill="1" applyAlignment="1">
      <alignment horizontal="center" vertical="center" wrapText="1"/>
    </xf>
    <xf numFmtId="165" fontId="0" fillId="0" borderId="4" xfId="0" applyNumberFormat="1" applyFill="1" applyBorder="1" applyAlignment="1" applyProtection="1">
      <alignment vertical="center" wrapText="1"/>
    </xf>
    <xf numFmtId="164" fontId="0" fillId="0" borderId="4" xfId="0" applyNumberFormat="1" applyFill="1" applyBorder="1" applyAlignment="1" applyProtection="1">
      <alignment horizontal="center" vertical="center" wrapText="1"/>
    </xf>
    <xf numFmtId="9" fontId="6" fillId="10" borderId="3" xfId="0" applyNumberFormat="1" applyFont="1" applyFill="1" applyBorder="1" applyAlignment="1" applyProtection="1">
      <alignment horizontal="center" vertical="center" wrapText="1"/>
    </xf>
    <xf numFmtId="9" fontId="6" fillId="10" borderId="4" xfId="0" applyNumberFormat="1" applyFont="1" applyFill="1" applyBorder="1" applyAlignment="1" applyProtection="1">
      <alignment horizontal="center" vertical="center" wrapText="1"/>
    </xf>
    <xf numFmtId="9" fontId="6" fillId="10" borderId="0" xfId="0" applyNumberFormat="1" applyFont="1" applyFill="1" applyBorder="1" applyAlignment="1" applyProtection="1">
      <alignment horizontal="center" vertical="center" wrapText="1"/>
    </xf>
    <xf numFmtId="0" fontId="5" fillId="6" borderId="8" xfId="1" applyFont="1" applyFill="1" applyBorder="1" applyAlignment="1">
      <alignment horizontal="center" vertical="center" wrapText="1"/>
    </xf>
    <xf numFmtId="0" fontId="6" fillId="10" borderId="5" xfId="0" applyFont="1" applyFill="1" applyBorder="1" applyAlignment="1" applyProtection="1">
      <alignment horizontal="center"/>
    </xf>
    <xf numFmtId="0" fontId="6" fillId="10" borderId="6" xfId="0" applyFont="1" applyFill="1" applyBorder="1" applyAlignment="1" applyProtection="1">
      <alignment horizontal="center"/>
    </xf>
    <xf numFmtId="0" fontId="6" fillId="10" borderId="8" xfId="0" applyFont="1" applyFill="1" applyBorder="1" applyAlignment="1" applyProtection="1">
      <alignment horizontal="center"/>
    </xf>
    <xf numFmtId="0" fontId="6" fillId="16" borderId="0" xfId="0" applyFont="1" applyFill="1" applyAlignment="1" applyProtection="1">
      <alignment horizontal="center"/>
    </xf>
    <xf numFmtId="0" fontId="5" fillId="16" borderId="0" xfId="1" applyFont="1" applyFill="1" applyAlignment="1">
      <alignment horizontal="center"/>
    </xf>
    <xf numFmtId="164" fontId="6" fillId="16" borderId="0" xfId="0" applyNumberFormat="1" applyFont="1" applyFill="1" applyAlignment="1" applyProtection="1">
      <alignment horizontal="center"/>
    </xf>
    <xf numFmtId="164" fontId="6" fillId="16" borderId="5" xfId="0" applyNumberFormat="1" applyFont="1" applyFill="1" applyBorder="1" applyAlignment="1" applyProtection="1">
      <alignment horizontal="center"/>
    </xf>
    <xf numFmtId="164" fontId="6" fillId="16" borderId="6" xfId="0" applyNumberFormat="1" applyFont="1" applyFill="1" applyBorder="1" applyAlignment="1" applyProtection="1">
      <alignment horizontal="center"/>
    </xf>
    <xf numFmtId="164" fontId="6" fillId="16" borderId="8" xfId="0" applyNumberFormat="1" applyFont="1" applyFill="1" applyBorder="1" applyAlignment="1" applyProtection="1">
      <alignment horizontal="center"/>
    </xf>
    <xf numFmtId="9" fontId="6" fillId="10" borderId="1" xfId="0" applyNumberFormat="1" applyFont="1" applyFill="1" applyBorder="1" applyAlignment="1" applyProtection="1">
      <alignment horizontal="center" wrapText="1"/>
    </xf>
    <xf numFmtId="9" fontId="6" fillId="10" borderId="2" xfId="0" applyNumberFormat="1" applyFont="1" applyFill="1" applyBorder="1" applyAlignment="1" applyProtection="1">
      <alignment horizontal="center" wrapText="1"/>
    </xf>
    <xf numFmtId="9" fontId="6" fillId="10" borderId="7" xfId="0" applyNumberFormat="1" applyFont="1" applyFill="1" applyBorder="1" applyAlignment="1" applyProtection="1">
      <alignment horizontal="center" wrapText="1"/>
    </xf>
    <xf numFmtId="0" fontId="5" fillId="6" borderId="20" xfId="1" applyFont="1" applyFill="1" applyBorder="1" applyAlignment="1">
      <alignment horizontal="center" vertical="center" wrapText="1"/>
    </xf>
    <xf numFmtId="0" fontId="5" fillId="6" borderId="21" xfId="1" applyFont="1" applyFill="1" applyBorder="1" applyAlignment="1">
      <alignment horizontal="center" vertical="center" wrapText="1"/>
    </xf>
    <xf numFmtId="0" fontId="5" fillId="6" borderId="22" xfId="1" applyFont="1" applyFill="1" applyBorder="1" applyAlignment="1">
      <alignment horizontal="center" vertical="center" wrapText="1"/>
    </xf>
    <xf numFmtId="165" fontId="0" fillId="0" borderId="3" xfId="0" applyNumberFormat="1" applyFill="1" applyBorder="1" applyAlignment="1" applyProtection="1">
      <alignment vertical="center" wrapText="1"/>
    </xf>
    <xf numFmtId="165" fontId="0" fillId="0" borderId="0" xfId="0" applyNumberFormat="1" applyFill="1" applyBorder="1" applyAlignment="1" applyProtection="1">
      <alignment vertical="center" wrapText="1"/>
    </xf>
    <xf numFmtId="164" fontId="0" fillId="0" borderId="4" xfId="0" applyNumberFormat="1" applyFill="1" applyBorder="1" applyAlignment="1" applyProtection="1">
      <alignment vertical="center" wrapText="1"/>
    </xf>
    <xf numFmtId="0" fontId="0" fillId="10" borderId="5" xfId="0" applyFill="1" applyBorder="1" applyAlignment="1" applyProtection="1">
      <alignment horizontal="center"/>
    </xf>
    <xf numFmtId="0" fontId="0" fillId="10" borderId="6" xfId="0" applyFill="1" applyBorder="1" applyAlignment="1" applyProtection="1">
      <alignment horizontal="center"/>
    </xf>
    <xf numFmtId="0" fontId="0" fillId="10" borderId="8" xfId="0" applyFill="1" applyBorder="1" applyAlignment="1" applyProtection="1">
      <alignment horizontal="center"/>
    </xf>
    <xf numFmtId="3" fontId="0" fillId="0" borderId="0" xfId="0" applyNumberFormat="1" applyFill="1" applyAlignment="1" applyProtection="1">
      <alignment horizontal="center"/>
    </xf>
    <xf numFmtId="0" fontId="0" fillId="0" borderId="0" xfId="0" applyFill="1" applyAlignment="1" applyProtection="1">
      <alignment horizontal="center" vertical="center"/>
    </xf>
    <xf numFmtId="9" fontId="0" fillId="0" borderId="0" xfId="0" applyNumberFormat="1" applyFill="1" applyAlignment="1" applyProtection="1">
      <alignment horizontal="center" vertical="center" wrapText="1"/>
    </xf>
    <xf numFmtId="164" fontId="0" fillId="13" borderId="3" xfId="0" applyNumberFormat="1" applyFill="1" applyBorder="1" applyAlignment="1" applyProtection="1">
      <alignment horizontal="center" vertical="center" wrapText="1"/>
    </xf>
    <xf numFmtId="164" fontId="0" fillId="13" borderId="4" xfId="0" applyNumberFormat="1" applyFill="1" applyBorder="1" applyAlignment="1" applyProtection="1">
      <alignment horizontal="center" vertical="center" wrapText="1"/>
    </xf>
    <xf numFmtId="164" fontId="0" fillId="13" borderId="0" xfId="0" applyNumberFormat="1" applyFill="1" applyBorder="1" applyAlignment="1" applyProtection="1">
      <alignment horizontal="center" vertical="center" wrapText="1"/>
    </xf>
    <xf numFmtId="164" fontId="0" fillId="14" borderId="0" xfId="0" applyNumberFormat="1" applyFill="1" applyAlignment="1" applyProtection="1">
      <alignment horizontal="center" vertical="center" wrapText="1"/>
    </xf>
    <xf numFmtId="164" fontId="0" fillId="13" borderId="5" xfId="0" applyNumberFormat="1" applyFill="1" applyBorder="1" applyAlignment="1" applyProtection="1">
      <alignment horizontal="center" vertical="center" wrapText="1"/>
    </xf>
    <xf numFmtId="164" fontId="0" fillId="13" borderId="6" xfId="0" applyNumberFormat="1" applyFill="1" applyBorder="1" applyAlignment="1" applyProtection="1">
      <alignment horizontal="center" vertical="center" wrapText="1"/>
    </xf>
    <xf numFmtId="164" fontId="0" fillId="13" borderId="8" xfId="0" applyNumberFormat="1" applyFill="1" applyBorder="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Alignment="1" applyProtection="1">
      <alignment horizontal="center"/>
    </xf>
    <xf numFmtId="9" fontId="0" fillId="13" borderId="0" xfId="0" applyNumberFormat="1" applyFill="1" applyAlignment="1" applyProtection="1">
      <alignment horizontal="center" vertical="center"/>
    </xf>
    <xf numFmtId="164" fontId="0" fillId="0" borderId="0" xfId="0" applyNumberFormat="1" applyFill="1" applyAlignment="1" applyProtection="1">
      <alignment horizontal="center" vertical="center"/>
    </xf>
    <xf numFmtId="9" fontId="0" fillId="14" borderId="0" xfId="0" applyNumberFormat="1" applyFill="1" applyAlignment="1" applyProtection="1">
      <alignment horizontal="center" vertical="center"/>
    </xf>
    <xf numFmtId="164" fontId="0" fillId="0" borderId="0" xfId="0" applyNumberFormat="1" applyFill="1" applyAlignment="1" applyProtection="1">
      <alignment horizontal="center" vertical="center" wrapText="1"/>
    </xf>
    <xf numFmtId="0" fontId="0" fillId="7" borderId="0" xfId="0" applyFill="1" applyAlignment="1" applyProtection="1">
      <alignment horizontal="center" vertical="center" wrapText="1"/>
    </xf>
    <xf numFmtId="9" fontId="0" fillId="7" borderId="0" xfId="0" applyNumberFormat="1" applyFill="1" applyAlignment="1" applyProtection="1">
      <alignment horizontal="center" vertical="center" wrapText="1"/>
    </xf>
    <xf numFmtId="164" fontId="0" fillId="7" borderId="3" xfId="0" applyNumberFormat="1" applyFill="1" applyBorder="1" applyAlignment="1" applyProtection="1">
      <alignment horizontal="center" vertical="center" wrapText="1"/>
    </xf>
    <xf numFmtId="164" fontId="0" fillId="7" borderId="4" xfId="0" applyNumberFormat="1" applyFill="1" applyBorder="1" applyAlignment="1" applyProtection="1">
      <alignment horizontal="center" vertical="center" wrapText="1"/>
    </xf>
    <xf numFmtId="164" fontId="0" fillId="7" borderId="0" xfId="0" applyNumberFormat="1" applyFill="1" applyBorder="1" applyAlignment="1" applyProtection="1">
      <alignment horizontal="center" vertical="center" wrapText="1"/>
    </xf>
    <xf numFmtId="164" fontId="0" fillId="7" borderId="0" xfId="0" applyNumberFormat="1" applyFill="1" applyAlignment="1" applyProtection="1">
      <alignment horizontal="center" vertical="center" wrapText="1"/>
    </xf>
    <xf numFmtId="0" fontId="6"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Alignment="1" applyProtection="1">
      <alignment horizontal="center"/>
    </xf>
    <xf numFmtId="0" fontId="5" fillId="17" borderId="0" xfId="0" applyFont="1" applyFill="1" applyAlignment="1">
      <alignment horizontal="center"/>
    </xf>
    <xf numFmtId="9" fontId="0" fillId="0" borderId="0" xfId="0" applyNumberFormat="1" applyFill="1" applyAlignment="1" applyProtection="1">
      <alignment vertical="center"/>
    </xf>
    <xf numFmtId="168" fontId="0" fillId="0" borderId="0" xfId="0" applyNumberFormat="1" applyFill="1" applyAlignment="1" applyProtection="1">
      <alignment horizontal="center" vertical="center"/>
    </xf>
    <xf numFmtId="0" fontId="0" fillId="8" borderId="0" xfId="0" applyFill="1" applyAlignment="1" applyProtection="1">
      <alignment horizontal="center" vertical="center"/>
    </xf>
    <xf numFmtId="0" fontId="0" fillId="8" borderId="0" xfId="0" applyFill="1" applyProtection="1"/>
    <xf numFmtId="0" fontId="0" fillId="13" borderId="0" xfId="0" applyFill="1" applyProtection="1"/>
    <xf numFmtId="0" fontId="0" fillId="14" borderId="0" xfId="0" applyFill="1" applyProtection="1"/>
    <xf numFmtId="0" fontId="6" fillId="19" borderId="0" xfId="0" applyFont="1" applyFill="1" applyProtection="1"/>
    <xf numFmtId="0" fontId="6" fillId="20" borderId="0" xfId="0" applyFont="1" applyFill="1" applyProtection="1"/>
    <xf numFmtId="165" fontId="0" fillId="0" borderId="0" xfId="0" applyNumberFormat="1" applyFill="1" applyProtection="1"/>
    <xf numFmtId="0" fontId="0" fillId="7" borderId="0" xfId="0" applyFill="1" applyAlignment="1" applyProtection="1">
      <alignment vertical="center"/>
    </xf>
    <xf numFmtId="165" fontId="6" fillId="0" borderId="0" xfId="0" applyNumberFormat="1" applyFont="1" applyFill="1" applyProtection="1"/>
    <xf numFmtId="0" fontId="6" fillId="19" borderId="0" xfId="0" applyFont="1" applyFill="1" applyAlignment="1" applyProtection="1">
      <alignment wrapText="1"/>
    </xf>
    <xf numFmtId="169" fontId="0" fillId="0" borderId="0" xfId="0" applyNumberFormat="1" applyFill="1" applyProtection="1"/>
    <xf numFmtId="0" fontId="0" fillId="0" borderId="0" xfId="0" applyFill="1" applyAlignment="1" applyProtection="1"/>
    <xf numFmtId="0" fontId="0" fillId="0" borderId="0" xfId="0" applyFill="1" applyAlignment="1" applyProtection="1">
      <alignment horizontal="center" wrapText="1"/>
    </xf>
    <xf numFmtId="0" fontId="0" fillId="21" borderId="0" xfId="0" applyFill="1" applyAlignment="1" applyProtection="1">
      <alignment horizontal="center" wrapText="1"/>
    </xf>
    <xf numFmtId="0" fontId="0" fillId="21" borderId="0" xfId="0" applyFill="1" applyProtection="1"/>
    <xf numFmtId="169" fontId="0" fillId="21" borderId="0" xfId="0" applyNumberFormat="1" applyFill="1" applyProtection="1"/>
    <xf numFmtId="0" fontId="0" fillId="8" borderId="0" xfId="0" applyFill="1" applyAlignment="1" applyProtection="1">
      <alignment horizontal="center" vertical="center" wrapText="1"/>
    </xf>
    <xf numFmtId="164" fontId="0" fillId="8" borderId="0" xfId="0" applyNumberFormat="1" applyFill="1" applyAlignment="1" applyProtection="1">
      <alignment horizontal="center" vertical="center" wrapText="1"/>
    </xf>
    <xf numFmtId="0" fontId="0" fillId="8" borderId="0" xfId="0" applyFill="1" applyAlignment="1" applyProtection="1">
      <alignment vertical="center"/>
    </xf>
    <xf numFmtId="9" fontId="0" fillId="8" borderId="0" xfId="0" applyNumberFormat="1" applyFill="1" applyAlignment="1" applyProtection="1">
      <alignment vertical="center"/>
    </xf>
    <xf numFmtId="168" fontId="0" fillId="8" borderId="0" xfId="0" applyNumberFormat="1" applyFill="1" applyAlignment="1" applyProtection="1">
      <alignment horizontal="center" vertical="center"/>
    </xf>
    <xf numFmtId="165" fontId="0" fillId="8" borderId="0" xfId="0" applyNumberFormat="1" applyFill="1" applyProtection="1"/>
    <xf numFmtId="0" fontId="0" fillId="0" borderId="0" xfId="0" applyFill="1" applyAlignment="1" applyProtection="1">
      <alignment horizontal="center"/>
    </xf>
    <xf numFmtId="0" fontId="6"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0" fillId="9" borderId="0" xfId="0" applyFill="1" applyProtection="1"/>
    <xf numFmtId="0" fontId="15" fillId="0" borderId="0" xfId="0" applyFont="1" applyFill="1" applyAlignment="1" applyProtection="1"/>
    <xf numFmtId="0" fontId="6" fillId="0" borderId="0" xfId="0" applyFont="1" applyFill="1" applyAlignment="1" applyProtection="1">
      <alignment vertical="center" wrapText="1"/>
    </xf>
    <xf numFmtId="0" fontId="0" fillId="22" borderId="0" xfId="0" applyFill="1" applyAlignment="1" applyProtection="1">
      <alignment horizontal="center" vertical="center" wrapText="1"/>
    </xf>
    <xf numFmtId="164" fontId="0" fillId="0" borderId="0" xfId="0" applyNumberFormat="1" applyAlignment="1">
      <alignment horizontal="center" vertical="center" wrapText="1"/>
    </xf>
    <xf numFmtId="0" fontId="6" fillId="23" borderId="0" xfId="0" applyFont="1" applyFill="1" applyAlignment="1">
      <alignment horizontal="center"/>
    </xf>
    <xf numFmtId="0" fontId="21" fillId="0" borderId="0" xfId="0" applyFont="1"/>
    <xf numFmtId="0" fontId="22" fillId="22" borderId="0" xfId="0" applyFont="1" applyFill="1" applyAlignment="1" applyProtection="1">
      <alignment horizontal="center" vertical="center" wrapText="1"/>
    </xf>
    <xf numFmtId="0" fontId="20" fillId="0" borderId="0" xfId="0" applyFont="1" applyAlignment="1"/>
    <xf numFmtId="0" fontId="6" fillId="0" borderId="0" xfId="0" applyFont="1" applyFill="1" applyAlignment="1">
      <alignment horizontal="left"/>
    </xf>
    <xf numFmtId="0" fontId="6" fillId="0" borderId="0" xfId="0" applyFont="1"/>
    <xf numFmtId="0" fontId="0" fillId="8" borderId="0" xfId="0" applyFill="1" applyAlignment="1" applyProtection="1">
      <alignment horizontal="center"/>
      <protection locked="0"/>
    </xf>
    <xf numFmtId="0" fontId="6" fillId="11" borderId="0" xfId="0" applyFont="1" applyFill="1" applyAlignment="1" applyProtection="1">
      <alignment horizontal="center" vertical="center" wrapText="1"/>
    </xf>
    <xf numFmtId="0" fontId="0" fillId="0" borderId="0" xfId="0" applyFill="1" applyAlignment="1" applyProtection="1">
      <alignment horizontal="center"/>
    </xf>
    <xf numFmtId="0" fontId="6" fillId="0" borderId="0" xfId="0" applyFont="1" applyFill="1" applyAlignment="1" applyProtection="1">
      <alignment horizontal="center"/>
    </xf>
    <xf numFmtId="0" fontId="0" fillId="21" borderId="0" xfId="0" applyFill="1" applyAlignment="1" applyProtection="1">
      <alignment horizontal="center"/>
      <protection locked="0"/>
    </xf>
    <xf numFmtId="0" fontId="0" fillId="0" borderId="23" xfId="0" applyFill="1" applyBorder="1" applyAlignment="1" applyProtection="1">
      <alignment horizontal="center" vertical="center" wrapText="1"/>
    </xf>
    <xf numFmtId="0" fontId="6" fillId="11" borderId="23" xfId="0" applyFont="1" applyFill="1" applyBorder="1" applyAlignment="1" applyProtection="1">
      <alignment horizontal="center" vertical="center" wrapText="1"/>
    </xf>
    <xf numFmtId="0" fontId="0" fillId="20" borderId="0" xfId="0" applyFill="1" applyAlignment="1" applyProtection="1"/>
    <xf numFmtId="0" fontId="24" fillId="0" borderId="23" xfId="0" applyFont="1" applyFill="1" applyBorder="1" applyAlignment="1" applyProtection="1">
      <alignment horizontal="right" vertical="center" wrapText="1"/>
    </xf>
    <xf numFmtId="0" fontId="6" fillId="20" borderId="0" xfId="0" applyFont="1" applyFill="1" applyAlignment="1" applyProtection="1"/>
    <xf numFmtId="0" fontId="24" fillId="24" borderId="23" xfId="0" applyFont="1" applyFill="1" applyBorder="1" applyAlignment="1" applyProtection="1">
      <alignment horizontal="right" vertical="center" wrapText="1"/>
    </xf>
    <xf numFmtId="0" fontId="24" fillId="22" borderId="23" xfId="0" applyFont="1" applyFill="1" applyBorder="1" applyAlignment="1" applyProtection="1">
      <alignment horizontal="right" vertical="center" wrapText="1"/>
    </xf>
    <xf numFmtId="0" fontId="6" fillId="22" borderId="23" xfId="0" applyFont="1" applyFill="1" applyBorder="1" applyAlignment="1" applyProtection="1">
      <alignment horizontal="center" vertical="center" wrapText="1"/>
    </xf>
    <xf numFmtId="0" fontId="26" fillId="28" borderId="23" xfId="0" applyFont="1" applyFill="1" applyBorder="1" applyAlignment="1" applyProtection="1">
      <alignment horizontal="center" vertical="center" wrapText="1"/>
    </xf>
    <xf numFmtId="0" fontId="25" fillId="27" borderId="23" xfId="0" applyFont="1" applyFill="1" applyBorder="1" applyAlignment="1" applyProtection="1">
      <alignment horizontal="center" vertical="center" wrapText="1"/>
    </xf>
    <xf numFmtId="0" fontId="20" fillId="0" borderId="0" xfId="0" applyFont="1" applyAlignment="1" applyProtection="1"/>
    <xf numFmtId="0" fontId="0" fillId="0" borderId="0" xfId="0" applyProtection="1"/>
    <xf numFmtId="0" fontId="6" fillId="0" borderId="0" xfId="0" applyFont="1" applyProtection="1"/>
    <xf numFmtId="0" fontId="26" fillId="25" borderId="0" xfId="0" applyFont="1" applyFill="1" applyAlignment="1" applyProtection="1">
      <alignment horizontal="center"/>
    </xf>
    <xf numFmtId="0" fontId="0" fillId="24" borderId="0" xfId="0" applyFill="1" applyAlignment="1" applyProtection="1">
      <alignment horizontal="center"/>
    </xf>
    <xf numFmtId="0" fontId="0" fillId="24" borderId="23" xfId="0" applyFill="1" applyBorder="1" applyAlignment="1" applyProtection="1">
      <alignment horizontal="center"/>
    </xf>
    <xf numFmtId="10" fontId="6" fillId="22" borderId="0" xfId="0" applyNumberFormat="1" applyFont="1" applyFill="1" applyAlignment="1" applyProtection="1">
      <alignment horizontal="center" vertical="center"/>
    </xf>
    <xf numFmtId="4" fontId="6" fillId="24" borderId="23" xfId="0" applyNumberFormat="1" applyFont="1" applyFill="1" applyBorder="1" applyAlignment="1" applyProtection="1">
      <alignment horizontal="center"/>
    </xf>
    <xf numFmtId="10" fontId="6" fillId="0" borderId="0" xfId="0" applyNumberFormat="1" applyFont="1" applyFill="1" applyAlignment="1" applyProtection="1">
      <alignment horizontal="center" vertical="center"/>
    </xf>
    <xf numFmtId="4" fontId="6" fillId="0" borderId="23" xfId="0" applyNumberFormat="1" applyFont="1" applyFill="1" applyBorder="1" applyAlignment="1" applyProtection="1">
      <alignment horizontal="center"/>
    </xf>
    <xf numFmtId="164" fontId="0" fillId="0" borderId="23" xfId="0" applyNumberFormat="1" applyBorder="1" applyAlignment="1" applyProtection="1">
      <alignment horizontal="center" vertical="center" wrapText="1"/>
    </xf>
    <xf numFmtId="2" fontId="0" fillId="0" borderId="23" xfId="0" applyNumberFormat="1" applyBorder="1" applyAlignment="1" applyProtection="1">
      <alignment horizontal="center" vertical="center" wrapText="1"/>
    </xf>
    <xf numFmtId="4" fontId="6" fillId="23" borderId="23" xfId="0" applyNumberFormat="1" applyFont="1" applyFill="1" applyBorder="1" applyAlignment="1" applyProtection="1">
      <alignment horizontal="center"/>
    </xf>
    <xf numFmtId="10" fontId="0" fillId="11" borderId="23" xfId="0" applyNumberFormat="1" applyFill="1" applyBorder="1" applyAlignment="1" applyProtection="1">
      <alignment horizontal="center" vertical="center" wrapText="1"/>
      <protection locked="0"/>
    </xf>
    <xf numFmtId="0" fontId="23" fillId="0" borderId="0" xfId="0" applyFont="1" applyFill="1" applyAlignment="1" applyProtection="1">
      <alignment horizontal="center"/>
    </xf>
    <xf numFmtId="0" fontId="22" fillId="0" borderId="0" xfId="0" applyFont="1" applyFill="1" applyAlignment="1" applyProtection="1"/>
    <xf numFmtId="0" fontId="28" fillId="21" borderId="0" xfId="0" applyFont="1" applyFill="1" applyAlignment="1" applyProtection="1">
      <alignment horizontal="center"/>
      <protection locked="0"/>
    </xf>
    <xf numFmtId="0" fontId="6" fillId="0" borderId="0" xfId="0" applyFont="1" applyFill="1" applyAlignment="1" applyProtection="1">
      <alignment horizontal="left"/>
    </xf>
    <xf numFmtId="0" fontId="27" fillId="0" borderId="0" xfId="0" applyFont="1" applyProtection="1"/>
    <xf numFmtId="0" fontId="0" fillId="0" borderId="0" xfId="0" applyFill="1" applyAlignment="1" applyProtection="1">
      <alignment wrapText="1"/>
    </xf>
    <xf numFmtId="0" fontId="6" fillId="0" borderId="0" xfId="0" applyFont="1" applyFill="1" applyAlignment="1" applyProtection="1">
      <alignment horizontal="center" wrapText="1"/>
    </xf>
    <xf numFmtId="0" fontId="21" fillId="0" borderId="0" xfId="0" applyFont="1" applyFill="1" applyAlignment="1" applyProtection="1">
      <alignment horizontal="center" wrapText="1"/>
    </xf>
    <xf numFmtId="0" fontId="6" fillId="23" borderId="0" xfId="0" applyFont="1" applyFill="1" applyAlignment="1" applyProtection="1">
      <alignment horizontal="center" wrapText="1"/>
    </xf>
    <xf numFmtId="0" fontId="20" fillId="0" borderId="0" xfId="0" applyFont="1" applyFill="1" applyAlignment="1" applyProtection="1">
      <alignment horizontal="center" vertical="center" wrapText="1"/>
    </xf>
    <xf numFmtId="0" fontId="20" fillId="0" borderId="0" xfId="0" applyFont="1" applyAlignment="1" applyProtection="1">
      <alignment horizontal="center" wrapText="1"/>
    </xf>
    <xf numFmtId="0" fontId="26" fillId="28" borderId="25" xfId="0" applyFont="1" applyFill="1" applyBorder="1" applyAlignment="1" applyProtection="1">
      <alignment horizontal="center" vertical="center" wrapText="1"/>
    </xf>
    <xf numFmtId="0" fontId="26" fillId="28" borderId="26" xfId="0" applyFont="1" applyFill="1" applyBorder="1" applyAlignment="1" applyProtection="1">
      <alignment horizontal="center" vertical="center" wrapText="1"/>
    </xf>
    <xf numFmtId="0" fontId="6" fillId="20" borderId="0" xfId="0" applyFont="1" applyFill="1" applyAlignment="1" applyProtection="1">
      <alignment horizontal="center" vertical="center" wrapText="1"/>
    </xf>
    <xf numFmtId="0" fontId="26" fillId="26" borderId="0" xfId="0" applyFont="1" applyFill="1" applyAlignment="1" applyProtection="1">
      <alignment horizontal="center" vertical="center"/>
    </xf>
    <xf numFmtId="0" fontId="0" fillId="20" borderId="0" xfId="0" applyFill="1" applyAlignment="1" applyProtection="1">
      <alignment horizontal="center"/>
    </xf>
    <xf numFmtId="0" fontId="23" fillId="0" borderId="0" xfId="0" applyFont="1" applyFill="1" applyAlignment="1" applyProtection="1">
      <alignment horizontal="center"/>
    </xf>
    <xf numFmtId="0" fontId="23" fillId="0" borderId="0" xfId="0" applyFont="1" applyAlignment="1" applyProtection="1">
      <alignment horizontal="center"/>
    </xf>
    <xf numFmtId="0" fontId="6" fillId="0" borderId="0" xfId="0" applyFont="1" applyAlignment="1" applyProtection="1">
      <alignment horizontal="center"/>
    </xf>
    <xf numFmtId="0" fontId="29" fillId="0" borderId="0" xfId="0" applyFont="1" applyAlignment="1" applyProtection="1">
      <alignment horizontal="left" textRotation="90"/>
    </xf>
    <xf numFmtId="0" fontId="20" fillId="0" borderId="0" xfId="0" applyFont="1" applyAlignment="1" applyProtection="1">
      <alignment horizontal="left" wrapText="1"/>
    </xf>
    <xf numFmtId="0" fontId="26" fillId="25" borderId="24" xfId="0" applyFont="1" applyFill="1" applyBorder="1" applyAlignment="1" applyProtection="1">
      <alignment horizontal="center"/>
    </xf>
    <xf numFmtId="0" fontId="26" fillId="26" borderId="0" xfId="0" applyFont="1" applyFill="1" applyAlignment="1" applyProtection="1">
      <alignment horizontal="center"/>
    </xf>
    <xf numFmtId="0" fontId="20" fillId="0" borderId="0" xfId="0" applyFont="1" applyAlignment="1">
      <alignment horizontal="center" wrapText="1"/>
    </xf>
    <xf numFmtId="0" fontId="6" fillId="11" borderId="0" xfId="0" applyFont="1" applyFill="1" applyAlignment="1" applyProtection="1">
      <alignment horizontal="center" vertical="center" wrapText="1"/>
    </xf>
    <xf numFmtId="0" fontId="6" fillId="23" borderId="0" xfId="0" applyFont="1" applyFill="1" applyAlignment="1" applyProtection="1">
      <alignment horizontal="center" vertical="center" wrapText="1"/>
    </xf>
    <xf numFmtId="0" fontId="0" fillId="21" borderId="0" xfId="0" applyFill="1" applyAlignment="1" applyProtection="1">
      <alignment horizontal="center"/>
    </xf>
    <xf numFmtId="0" fontId="16" fillId="0" borderId="0" xfId="0" applyFont="1" applyFill="1" applyAlignment="1" applyProtection="1">
      <alignment horizontal="center"/>
    </xf>
    <xf numFmtId="0" fontId="17" fillId="0" borderId="0" xfId="0" applyFont="1" applyFill="1" applyAlignment="1" applyProtection="1">
      <alignment horizontal="center"/>
    </xf>
    <xf numFmtId="0" fontId="15" fillId="0" borderId="0" xfId="0" applyFont="1" applyFill="1" applyAlignment="1" applyProtection="1">
      <alignment horizontal="center"/>
    </xf>
    <xf numFmtId="0" fontId="0" fillId="18" borderId="0" xfId="0" applyFill="1" applyAlignment="1" applyProtection="1">
      <alignment horizontal="center"/>
    </xf>
    <xf numFmtId="0" fontId="6" fillId="0" borderId="0" xfId="0" applyFont="1" applyFill="1" applyAlignment="1" applyProtection="1">
      <alignment horizontal="center" vertical="center" wrapText="1"/>
    </xf>
    <xf numFmtId="0" fontId="6" fillId="0" borderId="0" xfId="0" applyFont="1" applyFill="1" applyAlignment="1" applyProtection="1">
      <alignment horizontal="center" vertical="center"/>
    </xf>
    <xf numFmtId="0" fontId="5" fillId="17" borderId="0" xfId="0" applyFont="1" applyFill="1" applyAlignment="1">
      <alignment horizontal="center"/>
    </xf>
    <xf numFmtId="0" fontId="0" fillId="0" borderId="0" xfId="0" applyFill="1" applyAlignment="1" applyProtection="1">
      <alignment horizontal="center"/>
    </xf>
    <xf numFmtId="0" fontId="0" fillId="0" borderId="0" xfId="0" applyFill="1" applyAlignment="1" applyProtection="1">
      <alignment horizontal="center" vertical="center"/>
    </xf>
    <xf numFmtId="0" fontId="9" fillId="13" borderId="1" xfId="0" applyFont="1" applyFill="1" applyBorder="1" applyAlignment="1" applyProtection="1">
      <alignment horizontal="center" wrapText="1"/>
    </xf>
    <xf numFmtId="0" fontId="9" fillId="13" borderId="3" xfId="0" applyFont="1" applyFill="1" applyBorder="1" applyAlignment="1" applyProtection="1">
      <alignment horizontal="center" wrapText="1"/>
    </xf>
    <xf numFmtId="0" fontId="0" fillId="13" borderId="0" xfId="0" applyFill="1" applyAlignment="1" applyProtection="1">
      <alignment horizontal="center" vertical="center"/>
    </xf>
    <xf numFmtId="0" fontId="0" fillId="14" borderId="0" xfId="0" applyFill="1" applyAlignment="1" applyProtection="1">
      <alignment horizontal="center" vertical="center"/>
    </xf>
    <xf numFmtId="0" fontId="6" fillId="15" borderId="0" xfId="0" applyFont="1" applyFill="1" applyAlignment="1" applyProtection="1">
      <alignment horizontal="center" wrapText="1"/>
    </xf>
    <xf numFmtId="0" fontId="6" fillId="10" borderId="1" xfId="0" applyFont="1" applyFill="1" applyBorder="1" applyAlignment="1" applyProtection="1">
      <alignment horizontal="center"/>
    </xf>
    <xf numFmtId="0" fontId="6" fillId="10" borderId="7" xfId="0" applyFont="1" applyFill="1" applyBorder="1" applyAlignment="1" applyProtection="1">
      <alignment horizontal="center"/>
    </xf>
    <xf numFmtId="0" fontId="6" fillId="10" borderId="2" xfId="0" applyFont="1" applyFill="1" applyBorder="1" applyAlignment="1" applyProtection="1">
      <alignment horizontal="center"/>
    </xf>
    <xf numFmtId="0" fontId="6" fillId="10" borderId="3" xfId="0" applyFont="1" applyFill="1" applyBorder="1" applyAlignment="1" applyProtection="1">
      <alignment horizontal="center"/>
    </xf>
    <xf numFmtId="0" fontId="6" fillId="10" borderId="0" xfId="0" applyFont="1" applyFill="1" applyBorder="1" applyAlignment="1" applyProtection="1">
      <alignment horizontal="center"/>
    </xf>
    <xf numFmtId="0" fontId="6" fillId="10" borderId="4" xfId="0" applyFont="1" applyFill="1" applyBorder="1" applyAlignment="1" applyProtection="1">
      <alignment horizontal="center"/>
    </xf>
    <xf numFmtId="9" fontId="0" fillId="0" borderId="1" xfId="0" applyNumberFormat="1" applyFill="1" applyBorder="1" applyAlignment="1" applyProtection="1">
      <alignment horizontal="center"/>
    </xf>
    <xf numFmtId="0" fontId="0" fillId="0" borderId="7" xfId="0" applyFill="1" applyBorder="1" applyAlignment="1" applyProtection="1">
      <alignment horizontal="center"/>
    </xf>
    <xf numFmtId="0" fontId="0" fillId="0" borderId="2" xfId="0" applyFill="1" applyBorder="1" applyAlignment="1" applyProtection="1">
      <alignment horizontal="center"/>
    </xf>
    <xf numFmtId="9" fontId="0" fillId="0" borderId="7" xfId="0" applyNumberFormat="1" applyFill="1" applyBorder="1" applyAlignment="1" applyProtection="1">
      <alignment horizontal="center"/>
    </xf>
    <xf numFmtId="9" fontId="0" fillId="0" borderId="2" xfId="0" applyNumberFormat="1" applyFill="1" applyBorder="1" applyAlignment="1" applyProtection="1">
      <alignment horizontal="center"/>
    </xf>
    <xf numFmtId="0" fontId="6" fillId="11" borderId="0" xfId="0" applyFont="1" applyFill="1" applyAlignment="1" applyProtection="1">
      <alignment horizontal="center" wrapText="1"/>
    </xf>
    <xf numFmtId="37" fontId="14" fillId="0" borderId="16" xfId="0" applyNumberFormat="1" applyFont="1" applyFill="1" applyBorder="1" applyAlignment="1">
      <alignment horizontal="left" vertical="top" wrapText="1"/>
    </xf>
    <xf numFmtId="37" fontId="14" fillId="0" borderId="19" xfId="0" applyNumberFormat="1" applyFont="1" applyFill="1" applyBorder="1" applyAlignment="1">
      <alignment horizontal="left" vertical="top" wrapText="1"/>
    </xf>
    <xf numFmtId="37" fontId="14" fillId="0" borderId="17" xfId="0" applyNumberFormat="1"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167" fontId="14" fillId="0" borderId="9" xfId="0" applyNumberFormat="1" applyFont="1" applyFill="1" applyBorder="1" applyAlignment="1">
      <alignment horizontal="left" vertical="top" wrapText="1"/>
    </xf>
    <xf numFmtId="167" fontId="14" fillId="0" borderId="18" xfId="0" applyNumberFormat="1" applyFont="1" applyFill="1" applyBorder="1" applyAlignment="1">
      <alignment horizontal="left" vertical="top" wrapText="1"/>
    </xf>
    <xf numFmtId="167" fontId="14" fillId="0" borderId="10" xfId="0" applyNumberFormat="1" applyFont="1" applyFill="1" applyBorder="1" applyAlignment="1">
      <alignment horizontal="left" vertical="top" wrapText="1"/>
    </xf>
    <xf numFmtId="167" fontId="14" fillId="0" borderId="11" xfId="0" applyNumberFormat="1" applyFont="1" applyFill="1" applyBorder="1" applyAlignment="1">
      <alignment horizontal="left" vertical="top" wrapText="1"/>
    </xf>
    <xf numFmtId="167" fontId="14" fillId="0" borderId="12" xfId="0" applyNumberFormat="1" applyFont="1" applyFill="1" applyBorder="1" applyAlignment="1">
      <alignment horizontal="left" vertical="top" wrapText="1"/>
    </xf>
    <xf numFmtId="167" fontId="14" fillId="0" borderId="13" xfId="0" applyNumberFormat="1"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13" borderId="16" xfId="0" applyFont="1" applyFill="1" applyBorder="1" applyAlignment="1">
      <alignment horizontal="left" vertical="top" wrapText="1"/>
    </xf>
    <xf numFmtId="0" fontId="13" fillId="13" borderId="17" xfId="0" applyFont="1" applyFill="1" applyBorder="1" applyAlignment="1">
      <alignment horizontal="left" vertical="top" wrapText="1"/>
    </xf>
    <xf numFmtId="37" fontId="14" fillId="13" borderId="16" xfId="0" applyNumberFormat="1" applyFont="1" applyFill="1" applyBorder="1" applyAlignment="1">
      <alignment horizontal="left" vertical="top" wrapText="1"/>
    </xf>
    <xf numFmtId="37" fontId="14" fillId="13" borderId="19" xfId="0" applyNumberFormat="1" applyFont="1" applyFill="1" applyBorder="1" applyAlignment="1">
      <alignment horizontal="left" vertical="top" wrapText="1"/>
    </xf>
    <xf numFmtId="37" fontId="14" fillId="13" borderId="17" xfId="0" applyNumberFormat="1"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3" fillId="13" borderId="9" xfId="0" applyFont="1" applyFill="1" applyBorder="1" applyAlignment="1">
      <alignment horizontal="left" vertical="top" wrapText="1"/>
    </xf>
    <xf numFmtId="0" fontId="13" fillId="13" borderId="10" xfId="0" applyFont="1" applyFill="1" applyBorder="1" applyAlignment="1">
      <alignment horizontal="left" vertical="top" wrapText="1"/>
    </xf>
    <xf numFmtId="167" fontId="14" fillId="13" borderId="9" xfId="0" applyNumberFormat="1" applyFont="1" applyFill="1" applyBorder="1" applyAlignment="1">
      <alignment horizontal="left" vertical="top" wrapText="1"/>
    </xf>
    <xf numFmtId="167" fontId="14" fillId="13" borderId="18" xfId="0" applyNumberFormat="1" applyFont="1" applyFill="1" applyBorder="1" applyAlignment="1">
      <alignment horizontal="left" vertical="top" wrapText="1"/>
    </xf>
    <xf numFmtId="167" fontId="14" fillId="13" borderId="10" xfId="0" applyNumberFormat="1" applyFont="1" applyFill="1" applyBorder="1" applyAlignment="1">
      <alignment horizontal="left" vertical="top"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1"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3" xfId="0" applyFont="1" applyFill="1" applyBorder="1" applyAlignment="1">
      <alignment horizontal="center" vertical="top" wrapText="1"/>
    </xf>
    <xf numFmtId="166" fontId="12" fillId="0" borderId="11" xfId="0" applyNumberFormat="1" applyFont="1" applyFill="1" applyBorder="1" applyAlignment="1">
      <alignment horizontal="center" vertical="top" wrapText="1"/>
    </xf>
    <xf numFmtId="166" fontId="12" fillId="0" borderId="12" xfId="0" applyNumberFormat="1" applyFont="1" applyFill="1" applyBorder="1" applyAlignment="1">
      <alignment horizontal="center" vertical="top" wrapText="1"/>
    </xf>
    <xf numFmtId="166" fontId="12" fillId="0" borderId="13" xfId="0" applyNumberFormat="1" applyFont="1" applyFill="1" applyBorder="1" applyAlignment="1">
      <alignment horizontal="center" vertical="top" wrapText="1"/>
    </xf>
    <xf numFmtId="0" fontId="5" fillId="0" borderId="0" xfId="0" applyFont="1" applyAlignment="1">
      <alignment horizontal="center" vertical="center" wrapText="1"/>
    </xf>
    <xf numFmtId="0" fontId="5" fillId="0" borderId="0" xfId="0" applyFont="1" applyAlignment="1">
      <alignment horizontal="center"/>
    </xf>
    <xf numFmtId="0" fontId="6" fillId="3" borderId="0" xfId="0" applyFont="1" applyFill="1" applyAlignment="1" applyProtection="1">
      <alignment horizontal="center"/>
    </xf>
  </cellXfs>
  <cellStyles count="5">
    <cellStyle name="Currency" xfId="4" builtinId="4"/>
    <cellStyle name="Normal" xfId="0" builtinId="0"/>
    <cellStyle name="Normal 2" xfId="2"/>
    <cellStyle name="Normal 3" xfId="1"/>
    <cellStyle name="Normal 4" xfId="3"/>
  </cellStyles>
  <dxfs count="1">
    <dxf>
      <font>
        <color rgb="FF006100"/>
      </font>
      <fill>
        <patternFill>
          <bgColor rgb="FFC6EFCE"/>
        </patternFill>
      </fill>
    </dxf>
  </dxfs>
  <tableStyles count="0" defaultTableStyle="TableStyleMedium2" defaultPivotStyle="PivotStyleLight16"/>
  <colors>
    <mruColors>
      <color rgb="FFCCFFCC"/>
      <color rgb="FFCC66FF"/>
      <color rgb="FF66FF33"/>
      <color rgb="FF00CC66"/>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Comparison of Annual O&amp;M FTE</a:t>
            </a:r>
          </a:p>
        </c:rich>
      </c:tx>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458993140912853"/>
          <c:y val="1.8884238264272157E-2"/>
          <c:w val="0.88389129483814521"/>
          <c:h val="0.89032042869641292"/>
        </c:manualLayout>
      </c:layout>
      <c:bar3DChart>
        <c:barDir val="col"/>
        <c:grouping val="clustered"/>
        <c:varyColors val="0"/>
        <c:ser>
          <c:idx val="0"/>
          <c:order val="0"/>
          <c:tx>
            <c:strRef>
              <c:f>'O&amp;M Dashboard #2'!$A$7</c:f>
              <c:strCache>
                <c:ptCount val="1"/>
                <c:pt idx="0">
                  <c:v>Option 1</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dLbl>
              <c:idx val="0"/>
              <c:layout/>
              <c:tx>
                <c:rich>
                  <a:bodyPr rot="0" spcFirstLastPara="1" vertOverflow="ellipsis" vert="horz" wrap="square" lIns="38100" tIns="19050" rIns="38100" bIns="19050" anchor="ctr" anchorCtr="1">
                    <a:noAutofit/>
                  </a:bodyPr>
                  <a:lstStyle/>
                  <a:p>
                    <a:pPr>
                      <a:defRPr sz="900" b="0" i="0" u="none" strike="noStrike" kern="1200" baseline="0">
                        <a:solidFill>
                          <a:schemeClr val="dk1">
                            <a:lumMod val="75000"/>
                            <a:lumOff val="25000"/>
                          </a:schemeClr>
                        </a:solidFill>
                        <a:latin typeface="+mn-lt"/>
                        <a:ea typeface="+mn-ea"/>
                        <a:cs typeface="+mn-cs"/>
                      </a:defRPr>
                    </a:pPr>
                    <a:fld id="{34829E7A-BD8C-4403-99C9-66FD5DA820EE}" type="SERIESNAME">
                      <a:rPr lang="en-US" b="1">
                        <a:solidFill>
                          <a:schemeClr val="bg1"/>
                        </a:solidFill>
                      </a:rPr>
                      <a:pPr>
                        <a:defRPr sz="900" b="0" i="0" u="none" strike="noStrike" kern="1200" baseline="0">
                          <a:solidFill>
                            <a:schemeClr val="dk1">
                              <a:lumMod val="75000"/>
                              <a:lumOff val="25000"/>
                            </a:schemeClr>
                          </a:solidFill>
                          <a:latin typeface="+mn-lt"/>
                          <a:ea typeface="+mn-ea"/>
                          <a:cs typeface="+mn-cs"/>
                        </a:defRPr>
                      </a:pPr>
                      <a:t>[SERIES NAME]</a:t>
                    </a:fld>
                    <a:r>
                      <a:rPr lang="en-US" b="1" baseline="0">
                        <a:solidFill>
                          <a:schemeClr val="bg1"/>
                        </a:solidFill>
                      </a:rPr>
                      <a:t>
</a:t>
                    </a:r>
                    <a:fld id="{B49A4330-894E-49C5-A3FB-09D5A19A9CA3}" type="VALUE">
                      <a:rPr lang="en-US" b="1" baseline="0">
                        <a:solidFill>
                          <a:schemeClr val="bg1"/>
                        </a:solidFill>
                      </a:rPr>
                      <a:pPr>
                        <a:defRPr sz="900" b="0" i="0" u="none" strike="noStrike" kern="1200" baseline="0">
                          <a:solidFill>
                            <a:schemeClr val="dk1">
                              <a:lumMod val="75000"/>
                              <a:lumOff val="25000"/>
                            </a:schemeClr>
                          </a:solidFill>
                          <a:latin typeface="+mn-lt"/>
                          <a:ea typeface="+mn-ea"/>
                          <a:cs typeface="+mn-cs"/>
                        </a:defRPr>
                      </a:pPr>
                      <a:t>[VALUE]</a:t>
                    </a:fld>
                    <a:endParaRPr lang="en-US" b="1" baseline="0">
                      <a:solidFill>
                        <a:schemeClr val="bg1"/>
                      </a:solidFill>
                    </a:endParaRPr>
                  </a:p>
                </c:rich>
              </c:tx>
              <c:spPr>
                <a:noFill/>
                <a:ln>
                  <a:noFill/>
                </a:ln>
                <a:effectLst/>
              </c:spPr>
              <c:showLegendKey val="0"/>
              <c:showVal val="1"/>
              <c:showCatName val="1"/>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00-0E00-4118-A7FD-B60D35BF4DBB}"/>
                </c:ext>
              </c:extLst>
            </c:dLbl>
            <c:spPr>
              <a:solidFill>
                <a:sysClr val="windowText" lastClr="000000">
                  <a:lumMod val="65000"/>
                  <a:lumOff val="35000"/>
                  <a:alpha val="75000"/>
                </a:sysClr>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'O&amp;M Dashboard #2'!$D$12</c:f>
              <c:strCache>
                <c:ptCount val="1"/>
                <c:pt idx="0">
                  <c:v>Annual O&amp;M FTE</c:v>
                </c:pt>
              </c:strCache>
            </c:strRef>
          </c:cat>
          <c:val>
            <c:numRef>
              <c:f>'O&amp;M Dashboard #2'!$B$12</c:f>
              <c:numCache>
                <c:formatCode>General</c:formatCode>
                <c:ptCount val="1"/>
                <c:pt idx="0">
                  <c:v>0.2</c:v>
                </c:pt>
              </c:numCache>
            </c:numRef>
          </c:val>
          <c:extLst>
            <c:ext xmlns:c16="http://schemas.microsoft.com/office/drawing/2014/chart" uri="{C3380CC4-5D6E-409C-BE32-E72D297353CC}">
              <c16:uniqueId val="{00000001-0E00-4118-A7FD-B60D35BF4DBB}"/>
            </c:ext>
          </c:extLst>
        </c:ser>
        <c:ser>
          <c:idx val="1"/>
          <c:order val="1"/>
          <c:tx>
            <c:strRef>
              <c:f>'O&amp;M Dashboard #2'!$D$7</c:f>
              <c:strCache>
                <c:ptCount val="1"/>
                <c:pt idx="0">
                  <c:v>Option 2</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0"/>
              <c:layout>
                <c:manualLayout>
                  <c:x val="5.5555555555555506E-3"/>
                  <c:y val="0.1921296296296296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dk1">
                            <a:lumMod val="75000"/>
                            <a:lumOff val="25000"/>
                          </a:schemeClr>
                        </a:solidFill>
                        <a:latin typeface="+mn-lt"/>
                        <a:ea typeface="+mn-ea"/>
                        <a:cs typeface="+mn-cs"/>
                      </a:defRPr>
                    </a:pPr>
                    <a:fld id="{46830567-C828-4708-B14E-D82EBD104384}" type="SERIESNAME">
                      <a:rPr lang="en-US" b="1">
                        <a:solidFill>
                          <a:schemeClr val="bg1"/>
                        </a:solidFill>
                      </a:rPr>
                      <a:pPr>
                        <a:defRPr sz="900" b="0" i="0" u="none" strike="noStrike" kern="1200" baseline="0">
                          <a:solidFill>
                            <a:schemeClr val="dk1">
                              <a:lumMod val="75000"/>
                              <a:lumOff val="25000"/>
                            </a:schemeClr>
                          </a:solidFill>
                          <a:latin typeface="+mn-lt"/>
                          <a:ea typeface="+mn-ea"/>
                          <a:cs typeface="+mn-cs"/>
                        </a:defRPr>
                      </a:pPr>
                      <a:t>[SERIES NAME]</a:t>
                    </a:fld>
                    <a:r>
                      <a:rPr lang="en-US" b="1" baseline="0">
                        <a:solidFill>
                          <a:schemeClr val="bg1"/>
                        </a:solidFill>
                      </a:rPr>
                      <a:t>
</a:t>
                    </a:r>
                    <a:fld id="{562695D3-D58C-4004-971A-BB6AB06D918C}" type="VALUE">
                      <a:rPr lang="en-US" b="1" baseline="0">
                        <a:solidFill>
                          <a:schemeClr val="bg1"/>
                        </a:solidFill>
                      </a:rPr>
                      <a:pPr>
                        <a:defRPr sz="900" b="0" i="0" u="none" strike="noStrike" kern="1200" baseline="0">
                          <a:solidFill>
                            <a:schemeClr val="dk1">
                              <a:lumMod val="75000"/>
                              <a:lumOff val="25000"/>
                            </a:schemeClr>
                          </a:solidFill>
                          <a:latin typeface="+mn-lt"/>
                          <a:ea typeface="+mn-ea"/>
                          <a:cs typeface="+mn-cs"/>
                        </a:defRPr>
                      </a:pPr>
                      <a:t>[VALUE]</a:t>
                    </a:fld>
                    <a:endParaRPr lang="en-US" b="1" baseline="0">
                      <a:solidFill>
                        <a:schemeClr val="bg1"/>
                      </a:solidFill>
                    </a:endParaRPr>
                  </a:p>
                </c:rich>
              </c:tx>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layout>
                    <c:manualLayout>
                      <c:w val="0.12733333333333333"/>
                      <c:h val="0.14800925925925923"/>
                    </c:manualLayout>
                  </c15:layout>
                  <c15:dlblFieldTable/>
                  <c15:showDataLabelsRange val="0"/>
                </c:ext>
                <c:ext xmlns:c16="http://schemas.microsoft.com/office/drawing/2014/chart" uri="{C3380CC4-5D6E-409C-BE32-E72D297353CC}">
                  <c16:uniqueId val="{00000002-0E00-4118-A7FD-B60D35BF4D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'O&amp;M Dashboard #2'!$D$12</c:f>
              <c:strCache>
                <c:ptCount val="1"/>
                <c:pt idx="0">
                  <c:v>Annual O&amp;M FTE</c:v>
                </c:pt>
              </c:strCache>
            </c:strRef>
          </c:cat>
          <c:val>
            <c:numRef>
              <c:f>'O&amp;M Dashboard #2'!$E$12</c:f>
              <c:numCache>
                <c:formatCode>General</c:formatCode>
                <c:ptCount val="1"/>
                <c:pt idx="0">
                  <c:v>1.2</c:v>
                </c:pt>
              </c:numCache>
            </c:numRef>
          </c:val>
          <c:extLst>
            <c:ext xmlns:c16="http://schemas.microsoft.com/office/drawing/2014/chart" uri="{C3380CC4-5D6E-409C-BE32-E72D297353CC}">
              <c16:uniqueId val="{00000003-0E00-4118-A7FD-B60D35BF4DBB}"/>
            </c:ext>
          </c:extLst>
        </c:ser>
        <c:dLbls>
          <c:showLegendKey val="0"/>
          <c:showVal val="0"/>
          <c:showCatName val="0"/>
          <c:showSerName val="0"/>
          <c:showPercent val="0"/>
          <c:showBubbleSize val="0"/>
        </c:dLbls>
        <c:gapWidth val="65"/>
        <c:shape val="box"/>
        <c:axId val="207353864"/>
        <c:axId val="257653424"/>
        <c:axId val="0"/>
      </c:bar3DChart>
      <c:catAx>
        <c:axId val="2073538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57653424"/>
        <c:crosses val="autoZero"/>
        <c:auto val="1"/>
        <c:lblAlgn val="ctr"/>
        <c:lblOffset val="100"/>
        <c:noMultiLvlLbl val="0"/>
      </c:catAx>
      <c:valAx>
        <c:axId val="25765342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073538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Comparison</a:t>
            </a:r>
            <a:r>
              <a:rPr lang="en-US" baseline="0"/>
              <a:t> of Total FTE over Life of BMP</a:t>
            </a:r>
            <a:endParaRPr lang="en-US"/>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3.0555555555555555E-2"/>
          <c:y val="4.6296296296296294E-2"/>
          <c:w val="0.93888888888888888"/>
          <c:h val="0.8416746864975212"/>
        </c:manualLayout>
      </c:layout>
      <c:barChart>
        <c:barDir val="col"/>
        <c:grouping val="clustered"/>
        <c:varyColors val="0"/>
        <c:ser>
          <c:idx val="0"/>
          <c:order val="0"/>
          <c:tx>
            <c:strRef>
              <c:f>'O&amp;M Dashboard #2'!$A$7</c:f>
              <c:strCache>
                <c:ptCount val="1"/>
                <c:pt idx="0">
                  <c:v>Option 1</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'O&amp;M Dashboard #2'!$A$14</c:f>
              <c:strCache>
                <c:ptCount val="1"/>
                <c:pt idx="0">
                  <c:v>Total FTE over useful life</c:v>
                </c:pt>
              </c:strCache>
            </c:strRef>
          </c:cat>
          <c:val>
            <c:numRef>
              <c:f>'O&amp;M Dashboard #2'!$B$14</c:f>
              <c:numCache>
                <c:formatCode>General</c:formatCode>
                <c:ptCount val="1"/>
                <c:pt idx="0">
                  <c:v>5</c:v>
                </c:pt>
              </c:numCache>
            </c:numRef>
          </c:val>
          <c:extLst>
            <c:ext xmlns:c16="http://schemas.microsoft.com/office/drawing/2014/chart" uri="{C3380CC4-5D6E-409C-BE32-E72D297353CC}">
              <c16:uniqueId val="{00000000-3F2C-4DD5-BF73-F3C0831F14E4}"/>
            </c:ext>
          </c:extLst>
        </c:ser>
        <c:ser>
          <c:idx val="1"/>
          <c:order val="1"/>
          <c:tx>
            <c:strRef>
              <c:f>'O&amp;M Dashboard #2'!$D$7</c:f>
              <c:strCache>
                <c:ptCount val="1"/>
                <c:pt idx="0">
                  <c:v>Option 2</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'O&amp;M Dashboard #2'!$A$14</c:f>
              <c:strCache>
                <c:ptCount val="1"/>
                <c:pt idx="0">
                  <c:v>Total FTE over useful life</c:v>
                </c:pt>
              </c:strCache>
            </c:strRef>
          </c:cat>
          <c:val>
            <c:numRef>
              <c:f>'O&amp;M Dashboard #2'!$E$14</c:f>
              <c:numCache>
                <c:formatCode>General</c:formatCode>
                <c:ptCount val="1"/>
                <c:pt idx="0">
                  <c:v>60</c:v>
                </c:pt>
              </c:numCache>
            </c:numRef>
          </c:val>
          <c:extLst>
            <c:ext xmlns:c16="http://schemas.microsoft.com/office/drawing/2014/chart" uri="{C3380CC4-5D6E-409C-BE32-E72D297353CC}">
              <c16:uniqueId val="{00000001-3F2C-4DD5-BF73-F3C0831F14E4}"/>
            </c:ext>
          </c:extLst>
        </c:ser>
        <c:dLbls>
          <c:dLblPos val="inEnd"/>
          <c:showLegendKey val="0"/>
          <c:showVal val="1"/>
          <c:showCatName val="0"/>
          <c:showSerName val="0"/>
          <c:showPercent val="0"/>
          <c:showBubbleSize val="0"/>
        </c:dLbls>
        <c:gapWidth val="65"/>
        <c:axId val="257652640"/>
        <c:axId val="257653032"/>
      </c:barChart>
      <c:catAx>
        <c:axId val="257652640"/>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57653032"/>
        <c:crosses val="autoZero"/>
        <c:auto val="1"/>
        <c:lblAlgn val="ctr"/>
        <c:lblOffset val="100"/>
        <c:noMultiLvlLbl val="0"/>
      </c:catAx>
      <c:valAx>
        <c:axId val="25765303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576526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Comparison O&amp;M FTE from Different BMP Mix</a:t>
            </a:r>
            <a:r>
              <a:rPr lang="en-US" baseline="0"/>
              <a:t> Scenarios </a:t>
            </a:r>
          </a:p>
          <a:p>
            <a:pPr>
              <a:defRPr/>
            </a:pPr>
            <a:r>
              <a:rPr lang="en-US" baseline="0"/>
              <a:t>for a certain number of Treated Acres</a:t>
            </a:r>
            <a:endParaRPr lang="en-US"/>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'O&amp;M Dashboard #3'!$M$9</c:f>
              <c:strCache>
                <c:ptCount val="1"/>
                <c:pt idx="0">
                  <c:v>Scenario 1</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solidFill>
                <a:sysClr val="windowText" lastClr="000000">
                  <a:lumMod val="65000"/>
                  <a:lumOff val="35000"/>
                  <a:alpha val="75000"/>
                </a:sysClr>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'O&amp;M Dashboard #3'!$L$10</c:f>
              <c:strCache>
                <c:ptCount val="1"/>
                <c:pt idx="0">
                  <c:v>Total Scenario FTE</c:v>
                </c:pt>
              </c:strCache>
            </c:strRef>
          </c:cat>
          <c:val>
            <c:numRef>
              <c:f>'O&amp;M Dashboard #3'!$M$10</c:f>
              <c:numCache>
                <c:formatCode>#,##0.00</c:formatCode>
                <c:ptCount val="1"/>
                <c:pt idx="0">
                  <c:v>1.75</c:v>
                </c:pt>
              </c:numCache>
            </c:numRef>
          </c:val>
          <c:extLst>
            <c:ext xmlns:c16="http://schemas.microsoft.com/office/drawing/2014/chart" uri="{C3380CC4-5D6E-409C-BE32-E72D297353CC}">
              <c16:uniqueId val="{00000000-9C21-4DE5-9192-A7AF3FC15BFE}"/>
            </c:ext>
          </c:extLst>
        </c:ser>
        <c:ser>
          <c:idx val="1"/>
          <c:order val="1"/>
          <c:tx>
            <c:strRef>
              <c:f>'O&amp;M Dashboard #3'!$N$9</c:f>
              <c:strCache>
                <c:ptCount val="1"/>
                <c:pt idx="0">
                  <c:v>Scenario 2</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solidFill>
                <a:sysClr val="windowText" lastClr="000000">
                  <a:lumMod val="65000"/>
                  <a:lumOff val="35000"/>
                  <a:alpha val="75000"/>
                </a:sysClr>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'O&amp;M Dashboard #3'!$L$10</c:f>
              <c:strCache>
                <c:ptCount val="1"/>
                <c:pt idx="0">
                  <c:v>Total Scenario FTE</c:v>
                </c:pt>
              </c:strCache>
            </c:strRef>
          </c:cat>
          <c:val>
            <c:numRef>
              <c:f>'O&amp;M Dashboard #3'!$N$10</c:f>
              <c:numCache>
                <c:formatCode>#,##0.00</c:formatCode>
                <c:ptCount val="1"/>
                <c:pt idx="0">
                  <c:v>4.8150000000000013</c:v>
                </c:pt>
              </c:numCache>
            </c:numRef>
          </c:val>
          <c:extLst>
            <c:ext xmlns:c16="http://schemas.microsoft.com/office/drawing/2014/chart" uri="{C3380CC4-5D6E-409C-BE32-E72D297353CC}">
              <c16:uniqueId val="{00000001-9C21-4DE5-9192-A7AF3FC15BFE}"/>
            </c:ext>
          </c:extLst>
        </c:ser>
        <c:ser>
          <c:idx val="2"/>
          <c:order val="2"/>
          <c:tx>
            <c:strRef>
              <c:f>'O&amp;M Dashboard #3'!$O$9</c:f>
              <c:strCache>
                <c:ptCount val="1"/>
                <c:pt idx="0">
                  <c:v>Scenario 3</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solidFill>
                <a:sysClr val="windowText" lastClr="000000">
                  <a:lumMod val="65000"/>
                  <a:lumOff val="35000"/>
                  <a:alpha val="75000"/>
                </a:sysClr>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'O&amp;M Dashboard #3'!$L$10</c:f>
              <c:strCache>
                <c:ptCount val="1"/>
                <c:pt idx="0">
                  <c:v>Total Scenario FTE</c:v>
                </c:pt>
              </c:strCache>
            </c:strRef>
          </c:cat>
          <c:val>
            <c:numRef>
              <c:f>'O&amp;M Dashboard #3'!$O$10</c:f>
              <c:numCache>
                <c:formatCode>#,##0.00</c:formatCode>
                <c:ptCount val="1"/>
                <c:pt idx="0">
                  <c:v>2.7363636363636363</c:v>
                </c:pt>
              </c:numCache>
            </c:numRef>
          </c:val>
          <c:extLst>
            <c:ext xmlns:c16="http://schemas.microsoft.com/office/drawing/2014/chart" uri="{C3380CC4-5D6E-409C-BE32-E72D297353CC}">
              <c16:uniqueId val="{00000002-9C21-4DE5-9192-A7AF3FC15BFE}"/>
            </c:ext>
          </c:extLst>
        </c:ser>
        <c:dLbls>
          <c:showLegendKey val="0"/>
          <c:showVal val="0"/>
          <c:showCatName val="0"/>
          <c:showSerName val="0"/>
          <c:showPercent val="0"/>
          <c:showBubbleSize val="0"/>
        </c:dLbls>
        <c:gapWidth val="65"/>
        <c:shape val="box"/>
        <c:axId val="257654600"/>
        <c:axId val="257655776"/>
        <c:axId val="0"/>
      </c:bar3DChart>
      <c:catAx>
        <c:axId val="2576546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57655776"/>
        <c:crosses val="autoZero"/>
        <c:auto val="1"/>
        <c:lblAlgn val="ctr"/>
        <c:lblOffset val="100"/>
        <c:noMultiLvlLbl val="0"/>
      </c:catAx>
      <c:valAx>
        <c:axId val="257655776"/>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57654600"/>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4629151</xdr:colOff>
      <xdr:row>0</xdr:row>
      <xdr:rowOff>0</xdr:rowOff>
    </xdr:from>
    <xdr:to>
      <xdr:col>0</xdr:col>
      <xdr:colOff>6534150</xdr:colOff>
      <xdr:row>2</xdr:row>
      <xdr:rowOff>154289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9151" y="0"/>
          <a:ext cx="1904999" cy="5352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3209924</xdr:colOff>
      <xdr:row>4</xdr:row>
      <xdr:rowOff>161924</xdr:rowOff>
    </xdr:from>
    <xdr:to>
      <xdr:col>0</xdr:col>
      <xdr:colOff>4143374</xdr:colOff>
      <xdr:row>6</xdr:row>
      <xdr:rowOff>38099</xdr:rowOff>
    </xdr:to>
    <xdr:sp macro="" textlink="">
      <xdr:nvSpPr>
        <xdr:cNvPr id="2" name="Left Arrow 1"/>
        <xdr:cNvSpPr/>
      </xdr:nvSpPr>
      <xdr:spPr>
        <a:xfrm rot="10800000">
          <a:off x="3209924" y="809624"/>
          <a:ext cx="9334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906781</xdr:colOff>
      <xdr:row>5</xdr:row>
      <xdr:rowOff>47625</xdr:rowOff>
    </xdr:from>
    <xdr:to>
      <xdr:col>4</xdr:col>
      <xdr:colOff>1304925</xdr:colOff>
      <xdr:row>7</xdr:row>
      <xdr:rowOff>123825</xdr:rowOff>
    </xdr:to>
    <xdr:sp macro="" textlink="">
      <xdr:nvSpPr>
        <xdr:cNvPr id="3" name="Down Arrow 2"/>
        <xdr:cNvSpPr/>
      </xdr:nvSpPr>
      <xdr:spPr>
        <a:xfrm>
          <a:off x="9593581" y="885825"/>
          <a:ext cx="398144"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371475</xdr:colOff>
      <xdr:row>0</xdr:row>
      <xdr:rowOff>0</xdr:rowOff>
    </xdr:from>
    <xdr:to>
      <xdr:col>3</xdr:col>
      <xdr:colOff>952500</xdr:colOff>
      <xdr:row>2</xdr:row>
      <xdr:rowOff>175701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0"/>
          <a:ext cx="1981200" cy="556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28577</xdr:colOff>
      <xdr:row>15</xdr:row>
      <xdr:rowOff>38101</xdr:rowOff>
    </xdr:from>
    <xdr:to>
      <xdr:col>2</xdr:col>
      <xdr:colOff>561976</xdr:colOff>
      <xdr:row>31</xdr:row>
      <xdr:rowOff>57151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15</xdr:row>
      <xdr:rowOff>28575</xdr:rowOff>
    </xdr:from>
    <xdr:to>
      <xdr:col>4</xdr:col>
      <xdr:colOff>4048125</xdr:colOff>
      <xdr:row>30</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1228725</xdr:colOff>
      <xdr:row>7</xdr:row>
      <xdr:rowOff>85725</xdr:rowOff>
    </xdr:from>
    <xdr:to>
      <xdr:col>0</xdr:col>
      <xdr:colOff>2162175</xdr:colOff>
      <xdr:row>8</xdr:row>
      <xdr:rowOff>38100</xdr:rowOff>
    </xdr:to>
    <xdr:sp macro="" textlink="">
      <xdr:nvSpPr>
        <xdr:cNvPr id="3" name="Right Arrow 2"/>
        <xdr:cNvSpPr/>
      </xdr:nvSpPr>
      <xdr:spPr>
        <a:xfrm>
          <a:off x="1228725" y="762000"/>
          <a:ext cx="9334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1266825</xdr:colOff>
      <xdr:row>9</xdr:row>
      <xdr:rowOff>40006</xdr:rowOff>
    </xdr:from>
    <xdr:to>
      <xdr:col>0</xdr:col>
      <xdr:colOff>2124075</xdr:colOff>
      <xdr:row>9</xdr:row>
      <xdr:rowOff>142875</xdr:rowOff>
    </xdr:to>
    <xdr:sp macro="" textlink="">
      <xdr:nvSpPr>
        <xdr:cNvPr id="4" name="Right Arrow 3"/>
        <xdr:cNvSpPr/>
      </xdr:nvSpPr>
      <xdr:spPr>
        <a:xfrm>
          <a:off x="1266825" y="1097281"/>
          <a:ext cx="857250" cy="1028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1200150</xdr:colOff>
      <xdr:row>7</xdr:row>
      <xdr:rowOff>76200</xdr:rowOff>
    </xdr:from>
    <xdr:to>
      <xdr:col>3</xdr:col>
      <xdr:colOff>2228850</xdr:colOff>
      <xdr:row>8</xdr:row>
      <xdr:rowOff>28575</xdr:rowOff>
    </xdr:to>
    <xdr:sp macro="" textlink="">
      <xdr:nvSpPr>
        <xdr:cNvPr id="5" name="Right Arrow 4"/>
        <xdr:cNvSpPr/>
      </xdr:nvSpPr>
      <xdr:spPr>
        <a:xfrm>
          <a:off x="7058025" y="752475"/>
          <a:ext cx="102870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1209675</xdr:colOff>
      <xdr:row>9</xdr:row>
      <xdr:rowOff>47625</xdr:rowOff>
    </xdr:from>
    <xdr:to>
      <xdr:col>3</xdr:col>
      <xdr:colOff>2209800</xdr:colOff>
      <xdr:row>10</xdr:row>
      <xdr:rowOff>28575</xdr:rowOff>
    </xdr:to>
    <xdr:sp macro="" textlink="">
      <xdr:nvSpPr>
        <xdr:cNvPr id="13" name="Right Arrow 12"/>
        <xdr:cNvSpPr/>
      </xdr:nvSpPr>
      <xdr:spPr>
        <a:xfrm>
          <a:off x="7067550" y="1104900"/>
          <a:ext cx="1000125"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3028950</xdr:colOff>
      <xdr:row>0</xdr:row>
      <xdr:rowOff>0</xdr:rowOff>
    </xdr:from>
    <xdr:to>
      <xdr:col>3</xdr:col>
      <xdr:colOff>1676400</xdr:colOff>
      <xdr:row>3</xdr:row>
      <xdr:rowOff>76200</xdr:rowOff>
    </xdr:to>
    <xdr:pic>
      <xdr:nvPicPr>
        <xdr:cNvPr id="14" name="Picture 1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29225" y="0"/>
          <a:ext cx="2305050"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906781</xdr:colOff>
      <xdr:row>5</xdr:row>
      <xdr:rowOff>47625</xdr:rowOff>
    </xdr:from>
    <xdr:to>
      <xdr:col>10</xdr:col>
      <xdr:colOff>1304925</xdr:colOff>
      <xdr:row>7</xdr:row>
      <xdr:rowOff>0</xdr:rowOff>
    </xdr:to>
    <xdr:sp macro="" textlink="">
      <xdr:nvSpPr>
        <xdr:cNvPr id="3" name="Down Arrow 2"/>
        <xdr:cNvSpPr/>
      </xdr:nvSpPr>
      <xdr:spPr>
        <a:xfrm>
          <a:off x="9593581" y="885825"/>
          <a:ext cx="398144"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24</xdr:row>
      <xdr:rowOff>85725</xdr:rowOff>
    </xdr:from>
    <xdr:to>
      <xdr:col>14</xdr:col>
      <xdr:colOff>590551</xdr:colOff>
      <xdr:row>51</xdr:row>
      <xdr:rowOff>85725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21</xdr:row>
      <xdr:rowOff>66675</xdr:rowOff>
    </xdr:from>
    <xdr:to>
      <xdr:col>5</xdr:col>
      <xdr:colOff>457200</xdr:colOff>
      <xdr:row>23</xdr:row>
      <xdr:rowOff>85725</xdr:rowOff>
    </xdr:to>
    <xdr:sp macro="" textlink="">
      <xdr:nvSpPr>
        <xdr:cNvPr id="6" name="Bent-Up Arrow 5"/>
        <xdr:cNvSpPr/>
      </xdr:nvSpPr>
      <xdr:spPr>
        <a:xfrm>
          <a:off x="400050" y="3114675"/>
          <a:ext cx="5553075" cy="40005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180975</xdr:colOff>
      <xdr:row>7</xdr:row>
      <xdr:rowOff>180975</xdr:rowOff>
    </xdr:from>
    <xdr:to>
      <xdr:col>0</xdr:col>
      <xdr:colOff>619125</xdr:colOff>
      <xdr:row>17</xdr:row>
      <xdr:rowOff>85725</xdr:rowOff>
    </xdr:to>
    <xdr:sp macro="" textlink="">
      <xdr:nvSpPr>
        <xdr:cNvPr id="7" name="Bent Arrow 6"/>
        <xdr:cNvSpPr/>
      </xdr:nvSpPr>
      <xdr:spPr>
        <a:xfrm>
          <a:off x="180975" y="561975"/>
          <a:ext cx="438150" cy="1809750"/>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1</xdr:col>
      <xdr:colOff>3577167</xdr:colOff>
      <xdr:row>0</xdr:row>
      <xdr:rowOff>0</xdr:rowOff>
    </xdr:from>
    <xdr:to>
      <xdr:col>5</xdr:col>
      <xdr:colOff>381001</xdr:colOff>
      <xdr:row>5</xdr:row>
      <xdr:rowOff>145368</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11084" y="0"/>
          <a:ext cx="1873250" cy="5263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3209924</xdr:colOff>
      <xdr:row>2</xdr:row>
      <xdr:rowOff>161924</xdr:rowOff>
    </xdr:from>
    <xdr:to>
      <xdr:col>0</xdr:col>
      <xdr:colOff>4143374</xdr:colOff>
      <xdr:row>4</xdr:row>
      <xdr:rowOff>38099</xdr:rowOff>
    </xdr:to>
    <xdr:sp macro="" textlink="">
      <xdr:nvSpPr>
        <xdr:cNvPr id="2" name="Left Arrow 1"/>
        <xdr:cNvSpPr/>
      </xdr:nvSpPr>
      <xdr:spPr>
        <a:xfrm rot="10800000">
          <a:off x="3209924" y="809624"/>
          <a:ext cx="933450" cy="2571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906781</xdr:colOff>
      <xdr:row>3</xdr:row>
      <xdr:rowOff>47625</xdr:rowOff>
    </xdr:from>
    <xdr:to>
      <xdr:col>4</xdr:col>
      <xdr:colOff>1304925</xdr:colOff>
      <xdr:row>5</xdr:row>
      <xdr:rowOff>123825</xdr:rowOff>
    </xdr:to>
    <xdr:sp macro="" textlink="">
      <xdr:nvSpPr>
        <xdr:cNvPr id="3" name="Down Arrow 2"/>
        <xdr:cNvSpPr/>
      </xdr:nvSpPr>
      <xdr:spPr>
        <a:xfrm>
          <a:off x="9593581" y="885825"/>
          <a:ext cx="398144"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314963</xdr:colOff>
      <xdr:row>18</xdr:row>
      <xdr:rowOff>479</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0"/>
          <a:ext cx="4572638" cy="34294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200025</xdr:colOff>
      <xdr:row>15</xdr:row>
      <xdr:rowOff>104775</xdr:rowOff>
    </xdr:from>
    <xdr:to>
      <xdr:col>15</xdr:col>
      <xdr:colOff>438150</xdr:colOff>
      <xdr:row>20</xdr:row>
      <xdr:rowOff>85725</xdr:rowOff>
    </xdr:to>
    <xdr:sp macro="" textlink="">
      <xdr:nvSpPr>
        <xdr:cNvPr id="2" name="TextBox 1"/>
        <xdr:cNvSpPr txBox="1"/>
      </xdr:nvSpPr>
      <xdr:spPr>
        <a:xfrm>
          <a:off x="9534525" y="3371850"/>
          <a:ext cx="34575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 sure how to interpret.</a:t>
          </a:r>
          <a:r>
            <a:rPr lang="en-US" sz="1100" baseline="0"/>
            <a:t>  Capital and O&amp;M seem low compared with annualized costs.</a:t>
          </a:r>
          <a:endParaRPr lang="en-US" sz="1100"/>
        </a:p>
      </xdr:txBody>
    </xdr:sp>
    <xdr:clientData/>
  </xdr:twoCellAnchor>
  <xdr:twoCellAnchor>
    <xdr:from>
      <xdr:col>11</xdr:col>
      <xdr:colOff>98520</xdr:colOff>
      <xdr:row>10</xdr:row>
      <xdr:rowOff>146599</xdr:rowOff>
    </xdr:from>
    <xdr:to>
      <xdr:col>12</xdr:col>
      <xdr:colOff>413808</xdr:colOff>
      <xdr:row>14</xdr:row>
      <xdr:rowOff>151353</xdr:rowOff>
    </xdr:to>
    <xdr:sp macro="" textlink="">
      <xdr:nvSpPr>
        <xdr:cNvPr id="3" name="Curved Right Arrow 2"/>
        <xdr:cNvSpPr/>
      </xdr:nvSpPr>
      <xdr:spPr>
        <a:xfrm rot="8677560">
          <a:off x="5613495" y="2242099"/>
          <a:ext cx="924888" cy="766754"/>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eed1/Google%20Drive/NFWF%20Economic%20Analysis%20Shenandoah/staffing/BMP%20acres%20by%20county%20by%20BMP%20from%20VA%202025%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banBmpsSubmitted"/>
      <sheetName val="Street Sweeping"/>
      <sheetName val="Weet Ponds and Wetlands"/>
      <sheetName val="REgional "/>
      <sheetName val="Regional Totals"/>
      <sheetName val="Regulated Totals"/>
      <sheetName val="Urban Tree Canopy"/>
    </sheetNames>
    <sheetDataSet>
      <sheetData sheetId="0">
        <row r="138">
          <cell r="D138">
            <v>88.21</v>
          </cell>
        </row>
        <row r="139">
          <cell r="D139">
            <v>103.652</v>
          </cell>
        </row>
        <row r="140">
          <cell r="D140">
            <v>238.14599999999999</v>
          </cell>
        </row>
        <row r="141">
          <cell r="D141">
            <v>157.821</v>
          </cell>
        </row>
        <row r="142">
          <cell r="D142">
            <v>278.76900000000001</v>
          </cell>
        </row>
        <row r="143">
          <cell r="D143">
            <v>180.78899999999999</v>
          </cell>
        </row>
        <row r="144">
          <cell r="D144">
            <v>101.41</v>
          </cell>
        </row>
        <row r="145">
          <cell r="D145">
            <v>9.9000000000000005E-2</v>
          </cell>
        </row>
        <row r="159">
          <cell r="D159">
            <v>178.38300000000001</v>
          </cell>
        </row>
        <row r="160">
          <cell r="D160">
            <v>43.936</v>
          </cell>
        </row>
        <row r="161">
          <cell r="D161">
            <v>366.57400000000001</v>
          </cell>
        </row>
        <row r="162">
          <cell r="D162">
            <v>78.606999999999999</v>
          </cell>
        </row>
        <row r="163">
          <cell r="D163">
            <v>12.170999999999999</v>
          </cell>
        </row>
        <row r="164">
          <cell r="D164">
            <v>3.698</v>
          </cell>
        </row>
        <row r="165">
          <cell r="D165">
            <v>5.7919999999999998</v>
          </cell>
        </row>
        <row r="166">
          <cell r="D166">
            <v>3.6179999999999999</v>
          </cell>
        </row>
        <row r="167">
          <cell r="D167">
            <v>0.14399999999999999</v>
          </cell>
        </row>
        <row r="168">
          <cell r="D168">
            <v>0.05</v>
          </cell>
        </row>
        <row r="169">
          <cell r="D169">
            <v>330.20600000000002</v>
          </cell>
        </row>
        <row r="170">
          <cell r="D170">
            <v>90.046999999999997</v>
          </cell>
        </row>
        <row r="171">
          <cell r="D171">
            <v>549.62800000000004</v>
          </cell>
        </row>
        <row r="172">
          <cell r="D172">
            <v>138.851</v>
          </cell>
        </row>
        <row r="173">
          <cell r="D173">
            <v>441.53300000000002</v>
          </cell>
        </row>
        <row r="174">
          <cell r="D174">
            <v>118.617</v>
          </cell>
        </row>
      </sheetData>
      <sheetData sheetId="1"/>
      <sheetData sheetId="2">
        <row r="1">
          <cell r="D1">
            <v>1.2E-2</v>
          </cell>
        </row>
        <row r="2">
          <cell r="D2">
            <v>507.97699999999998</v>
          </cell>
        </row>
        <row r="3">
          <cell r="D3">
            <v>227.04599999999999</v>
          </cell>
        </row>
        <row r="4">
          <cell r="D4">
            <v>865.25699999999995</v>
          </cell>
        </row>
        <row r="5">
          <cell r="D5">
            <v>254.19300000000001</v>
          </cell>
        </row>
        <row r="6">
          <cell r="D6">
            <v>1257.3440000000001</v>
          </cell>
        </row>
        <row r="7">
          <cell r="D7">
            <v>1043.8900000000001</v>
          </cell>
        </row>
        <row r="8">
          <cell r="D8">
            <v>406.21199999999999</v>
          </cell>
        </row>
        <row r="9">
          <cell r="D9">
            <v>940.32</v>
          </cell>
        </row>
        <row r="10">
          <cell r="D10">
            <v>465.33199999999999</v>
          </cell>
        </row>
        <row r="11">
          <cell r="D11">
            <v>0.41099999999999998</v>
          </cell>
        </row>
        <row r="12">
          <cell r="D12">
            <v>0.25600000000000001</v>
          </cell>
        </row>
        <row r="13">
          <cell r="D13">
            <v>411.726</v>
          </cell>
        </row>
        <row r="14">
          <cell r="D14">
            <v>248.69399999999999</v>
          </cell>
        </row>
        <row r="15">
          <cell r="D15">
            <v>1565.175</v>
          </cell>
        </row>
        <row r="16">
          <cell r="D16">
            <v>717.52200000000005</v>
          </cell>
        </row>
        <row r="17">
          <cell r="D17">
            <v>612.96400000000006</v>
          </cell>
        </row>
      </sheetData>
      <sheetData sheetId="3"/>
      <sheetData sheetId="4">
        <row r="1">
          <cell r="D1">
            <v>2361.8550000000005</v>
          </cell>
        </row>
        <row r="2">
          <cell r="D2">
            <v>18.835000000000001</v>
          </cell>
        </row>
        <row r="3">
          <cell r="D3">
            <v>4784.1710000000003</v>
          </cell>
        </row>
        <row r="4">
          <cell r="D4">
            <v>9647.7789999999986</v>
          </cell>
        </row>
        <row r="6">
          <cell r="D6">
            <v>1505.3120000000001</v>
          </cell>
        </row>
        <row r="7">
          <cell r="D7">
            <v>4.1099999999999994</v>
          </cell>
        </row>
        <row r="9">
          <cell r="D9">
            <v>1148.896</v>
          </cell>
        </row>
        <row r="10">
          <cell r="D10">
            <v>4226.8500000000004</v>
          </cell>
        </row>
        <row r="11">
          <cell r="D11">
            <v>340.43899999999996</v>
          </cell>
        </row>
        <row r="13">
          <cell r="D13">
            <v>4604.0509999999995</v>
          </cell>
        </row>
        <row r="14">
          <cell r="D14">
            <v>36286.539000000004</v>
          </cell>
        </row>
        <row r="15">
          <cell r="D15">
            <v>8657.215000000002</v>
          </cell>
        </row>
        <row r="16">
          <cell r="D16">
            <v>82.815999999999988</v>
          </cell>
        </row>
        <row r="17">
          <cell r="D17">
            <v>148.93199999999999</v>
          </cell>
        </row>
        <row r="18">
          <cell r="D18">
            <v>9524.3310000000019</v>
          </cell>
        </row>
      </sheetData>
      <sheetData sheetId="5">
        <row r="3">
          <cell r="B3">
            <v>25.279</v>
          </cell>
        </row>
        <row r="4">
          <cell r="B4">
            <v>18.835000000000001</v>
          </cell>
        </row>
        <row r="6">
          <cell r="B6">
            <v>836.2589999999999</v>
          </cell>
        </row>
        <row r="7">
          <cell r="B7">
            <v>1466.8689999999999</v>
          </cell>
        </row>
        <row r="10">
          <cell r="B10">
            <v>160.63900000000001</v>
          </cell>
        </row>
        <row r="11">
          <cell r="B11">
            <v>0.20400000000000001</v>
          </cell>
        </row>
        <row r="12">
          <cell r="B12">
            <v>205.06200000000001</v>
          </cell>
        </row>
        <row r="13">
          <cell r="B13">
            <v>540.66499999999996</v>
          </cell>
        </row>
        <row r="14">
          <cell r="B14">
            <v>24.502000000000002</v>
          </cell>
        </row>
        <row r="16">
          <cell r="B16">
            <v>535.60300000000007</v>
          </cell>
        </row>
        <row r="17">
          <cell r="B17">
            <v>4267.7820000000002</v>
          </cell>
        </row>
        <row r="18">
          <cell r="B18">
            <v>801.45699999999988</v>
          </cell>
        </row>
        <row r="19">
          <cell r="B19">
            <v>1.6950000000000001</v>
          </cell>
        </row>
        <row r="20">
          <cell r="B20">
            <v>41.417000000000002</v>
          </cell>
        </row>
        <row r="21">
          <cell r="B21">
            <v>1779.8820000000001</v>
          </cell>
        </row>
      </sheetData>
      <sheetData sheetId="6">
        <row r="1">
          <cell r="D1">
            <v>14.351000000000001</v>
          </cell>
        </row>
        <row r="2">
          <cell r="D2">
            <v>0.54600000000000004</v>
          </cell>
        </row>
        <row r="3">
          <cell r="D3">
            <v>6.0000000000000001E-3</v>
          </cell>
        </row>
        <row r="5">
          <cell r="D5">
            <v>1.149</v>
          </cell>
        </row>
        <row r="6">
          <cell r="D6">
            <v>19.190999999999999</v>
          </cell>
        </row>
        <row r="7">
          <cell r="D7">
            <v>15.930999999999999</v>
          </cell>
        </row>
        <row r="8">
          <cell r="D8">
            <v>23.888999999999999</v>
          </cell>
        </row>
      </sheetData>
    </sheetDataSet>
  </externalBook>
</externalLink>
</file>

<file path=xl/tables/table1.xml><?xml version="1.0" encoding="utf-8"?>
<table xmlns="http://schemas.openxmlformats.org/spreadsheetml/2006/main" id="1" name="Table1" displayName="Table1" ref="A1:T1048576" totalsRowShown="0">
  <tableColumns count="20">
    <tableColumn id="1" name="Sector"/>
    <tableColumn id="20" name="Column1"/>
    <tableColumn id="2" name="BmpFullName"/>
    <tableColumn id="3" name="ShortName"/>
    <tableColumn id="4" name="GeographySubmittedOn"/>
    <tableColumn id="5" name="LanduseGroup"/>
    <tableColumn id="6" name="AmountSubmitted"/>
    <tableColumn id="7" name="Unit"/>
    <tableColumn id="8" name="CalculatedAmountSubmitted"/>
    <tableColumn id="9" name="CalculatedAmountSubmittedWithBackOut"/>
    <tableColumn id="10" name="AmountCredited"/>
    <tableColumn id="11" name="AmountNotCredited"/>
    <tableColumn id="12" name="UnitCalculated"/>
    <tableColumn id="13" name="PercentImplementation"/>
    <tableColumn id="14" name="TotalAnnualizedCost"/>
    <tableColumn id="15" name="Notes"/>
    <tableColumn id="16" name="LifespanYears"/>
    <tableColumn id="17" name="Capital"/>
    <tableColumn id="18" name="OandM"/>
    <tableColumn id="19" name="Opportunity"/>
  </tableColumns>
  <tableStyleInfo name="TableStyleLight9" showFirstColumn="0" showLastColumn="0" showRowStripes="1" showColumnStripes="0"/>
</table>
</file>

<file path=xl/tables/table2.xml><?xml version="1.0" encoding="utf-8"?>
<table xmlns="http://schemas.openxmlformats.org/spreadsheetml/2006/main" id="2" name="Table11" displayName="Table11" ref="A1:P17" totalsRowShown="0">
  <autoFilter ref="A1:P17"/>
  <tableColumns count="16">
    <tableColumn id="1" name="BmpFullName"/>
    <tableColumn id="2" name="ShortName"/>
    <tableColumn id="3" name="CountyName"/>
    <tableColumn id="4" name="AnimalGroup"/>
    <tableColumn id="5" name="LanduseGroup"/>
    <tableColumn id="6" name="AmountSubmitted"/>
    <tableColumn id="7" name="Unit"/>
    <tableColumn id="8" name="NEfficiency"/>
    <tableColumn id="9" name="PEfficiency"/>
    <tableColumn id="10" name="AnimalUnitsCredited"/>
    <tableColumn id="11" name="TotalAnnualizedCost"/>
    <tableColumn id="12" name="Notes"/>
    <tableColumn id="13" name="LifespanYears"/>
    <tableColumn id="14" name="Capital"/>
    <tableColumn id="15" name="OandM"/>
    <tableColumn id="16" name="Opportunity"/>
  </tableColumns>
  <tableStyleInfo name="TableStyleLight9" showFirstColumn="0" showLastColumn="0" showRowStripes="1" showColumnStripes="0"/>
</table>
</file>

<file path=xl/tables/table3.xml><?xml version="1.0" encoding="utf-8"?>
<table xmlns="http://schemas.openxmlformats.org/spreadsheetml/2006/main" id="3" name="Table12" displayName="Table12" ref="A1:P4" totalsRowShown="0">
  <autoFilter ref="A1:P4"/>
  <tableColumns count="16">
    <tableColumn id="1" name="BmpFullName"/>
    <tableColumn id="2" name="ShortName"/>
    <tableColumn id="3" name="GeographySubmittedOn"/>
    <tableColumn id="4" name="SepticZone"/>
    <tableColumn id="5" name="AmountSubmitted"/>
    <tableColumn id="6" name="Unit"/>
    <tableColumn id="7" name="CalculatedAmountSubmitted"/>
    <tableColumn id="8" name="AmountCredited"/>
    <tableColumn id="9" name="PercentImplementation"/>
    <tableColumn id="10" name="UnitCalculated"/>
    <tableColumn id="11" name="TotalAnnualizedCost"/>
    <tableColumn id="12" name="Notes"/>
    <tableColumn id="13" name="LifespanYears"/>
    <tableColumn id="14" name="Capital"/>
    <tableColumn id="15" name="OandM"/>
    <tableColumn id="16" name="Opportunity"/>
  </tableColumns>
  <tableStyleInfo name="TableStyleLight9" showFirstColumn="0" showLastColumn="0" showRowStripes="1" showColumnStripes="0"/>
</table>
</file>

<file path=xl/tables/table4.xml><?xml version="1.0" encoding="utf-8"?>
<table xmlns="http://schemas.openxmlformats.org/spreadsheetml/2006/main" id="4" name="Table13" displayName="Table13" ref="A1:K6" totalsRowShown="0">
  <autoFilter ref="A1:K6"/>
  <tableColumns count="11">
    <tableColumn id="1" name="CountyFrom"/>
    <tableColumn id="2" name="CountyTo"/>
    <tableColumn id="3" name="AnimalGroup"/>
    <tableColumn id="4" name="LanduseGroup"/>
    <tableColumn id="5" name="TonsTransported"/>
    <tableColumn id="6" name="TotalAnnualizedCost"/>
    <tableColumn id="7" name="Notes"/>
    <tableColumn id="8" name="LifespanYears"/>
    <tableColumn id="9" name="Capital"/>
    <tableColumn id="10" name="OandM"/>
    <tableColumn id="11" name="Opportunit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3"/>
  <sheetViews>
    <sheetView workbookViewId="0">
      <selection activeCell="A6" sqref="A6"/>
    </sheetView>
  </sheetViews>
  <sheetFormatPr defaultColWidth="9.1328125" defaultRowHeight="14.25" x14ac:dyDescent="0.45"/>
  <cols>
    <col min="1" max="1" width="167.3984375" style="181" customWidth="1"/>
    <col min="2" max="16384" width="9.1328125" style="239"/>
  </cols>
  <sheetData>
    <row r="3" spans="1:1" ht="18.75" customHeight="1" x14ac:dyDescent="0.45">
      <c r="A3" s="243" t="s">
        <v>446</v>
      </c>
    </row>
    <row r="4" spans="1:1" ht="18.75" customHeight="1" x14ac:dyDescent="0.45">
      <c r="A4" s="243"/>
    </row>
    <row r="5" spans="1:1" x14ac:dyDescent="0.45">
      <c r="A5" s="240" t="s">
        <v>447</v>
      </c>
    </row>
    <row r="6" spans="1:1" x14ac:dyDescent="0.45">
      <c r="A6" s="242" t="s">
        <v>452</v>
      </c>
    </row>
    <row r="7" spans="1:1" x14ac:dyDescent="0.45">
      <c r="A7" s="181" t="s">
        <v>436</v>
      </c>
    </row>
    <row r="8" spans="1:1" x14ac:dyDescent="0.45">
      <c r="A8" s="181" t="s">
        <v>449</v>
      </c>
    </row>
    <row r="9" spans="1:1" x14ac:dyDescent="0.45">
      <c r="A9" s="241" t="s">
        <v>440</v>
      </c>
    </row>
    <row r="10" spans="1:1" x14ac:dyDescent="0.45">
      <c r="A10" s="241"/>
    </row>
    <row r="11" spans="1:1" x14ac:dyDescent="0.45">
      <c r="A11" s="240" t="s">
        <v>450</v>
      </c>
    </row>
    <row r="12" spans="1:1" x14ac:dyDescent="0.45">
      <c r="A12" s="242" t="s">
        <v>438</v>
      </c>
    </row>
    <row r="13" spans="1:1" x14ac:dyDescent="0.45">
      <c r="A13" s="181" t="s">
        <v>437</v>
      </c>
    </row>
    <row r="14" spans="1:1" x14ac:dyDescent="0.45">
      <c r="A14" s="181" t="s">
        <v>435</v>
      </c>
    </row>
    <row r="15" spans="1:1" ht="28.5" x14ac:dyDescent="0.45">
      <c r="A15" s="181" t="s">
        <v>444</v>
      </c>
    </row>
    <row r="16" spans="1:1" x14ac:dyDescent="0.45">
      <c r="A16" s="241" t="s">
        <v>441</v>
      </c>
    </row>
    <row r="18" spans="1:1" x14ac:dyDescent="0.45">
      <c r="A18" s="240" t="s">
        <v>448</v>
      </c>
    </row>
    <row r="19" spans="1:1" x14ac:dyDescent="0.45">
      <c r="A19" s="242" t="s">
        <v>439</v>
      </c>
    </row>
    <row r="20" spans="1:1" x14ac:dyDescent="0.45">
      <c r="A20" s="181" t="s">
        <v>451</v>
      </c>
    </row>
    <row r="21" spans="1:1" x14ac:dyDescent="0.45">
      <c r="A21" s="181" t="s">
        <v>443</v>
      </c>
    </row>
    <row r="22" spans="1:1" ht="28.5" x14ac:dyDescent="0.45">
      <c r="A22" s="181" t="s">
        <v>442</v>
      </c>
    </row>
    <row r="23" spans="1:1" ht="42.75" x14ac:dyDescent="0.45">
      <c r="A23" s="181" t="s">
        <v>445</v>
      </c>
    </row>
  </sheetData>
  <sheetProtection algorithmName="SHA-512" hashValue="4eydFb2dbZK1+BD+Ow8dsruITUyJalTW0WP0tZx4jnhFIQa8+B8suc60fdqauMqzu+Aby2ijdWQWG7IQ+KK33w==" saltValue="2yR8K7Av0wAkgwj9TWBtrA==" spinCount="100000" sheet="1" objects="1" scenarios="1" selectLockedCells="1" selectUnlockedCells="1"/>
  <mergeCells count="1">
    <mergeCell ref="A3:A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topLeftCell="B1" zoomScale="50" zoomScaleNormal="50" workbookViewId="0">
      <pane xSplit="3" ySplit="10" topLeftCell="E11" activePane="bottomRight" state="frozen"/>
      <selection activeCell="D7" sqref="D7"/>
      <selection pane="topRight" activeCell="D7" sqref="D7"/>
      <selection pane="bottomLeft" activeCell="D7" sqref="D7"/>
      <selection pane="bottomRight" activeCell="D7" sqref="D7"/>
    </sheetView>
  </sheetViews>
  <sheetFormatPr defaultColWidth="71.1328125" defaultRowHeight="14.25" x14ac:dyDescent="0.45"/>
  <cols>
    <col min="1" max="1" width="2.3984375" style="23" bestFit="1" customWidth="1"/>
    <col min="2" max="2" width="2.1328125" style="23" customWidth="1"/>
    <col min="3" max="3" width="12" style="23" bestFit="1" customWidth="1"/>
    <col min="4" max="4" width="33.86328125" style="8" customWidth="1"/>
    <col min="5" max="5" width="8.265625" style="23" customWidth="1"/>
    <col min="6" max="6" width="8.1328125" style="23" bestFit="1" customWidth="1"/>
    <col min="7" max="7" width="20.265625" style="142" customWidth="1"/>
    <col min="8" max="8" width="17.265625" style="23" customWidth="1"/>
    <col min="9" max="9" width="8.1328125" style="23" bestFit="1" customWidth="1"/>
    <col min="10" max="10" width="8.1328125" style="142" customWidth="1"/>
    <col min="11" max="11" width="19.3984375" style="23" bestFit="1" customWidth="1"/>
    <col min="12" max="14" width="19.3984375" style="142" customWidth="1"/>
    <col min="15" max="15" width="15.265625" style="23" customWidth="1"/>
    <col min="16" max="16" width="12.3984375" style="23" bestFit="1" customWidth="1"/>
    <col min="17" max="18" width="10.3984375" style="23" bestFit="1" customWidth="1"/>
    <col min="19" max="19" width="11" style="23" bestFit="1" customWidth="1"/>
    <col min="20" max="20" width="12.1328125" style="23" bestFit="1" customWidth="1"/>
    <col min="21" max="21" width="11.59765625" style="23" bestFit="1" customWidth="1"/>
    <col min="22" max="22" width="10.3984375" style="23" bestFit="1" customWidth="1"/>
    <col min="23" max="23" width="8.86328125" style="23" bestFit="1" customWidth="1"/>
    <col min="24" max="24" width="9.86328125" style="23" bestFit="1" customWidth="1"/>
    <col min="25" max="25" width="9.3984375" style="23" bestFit="1" customWidth="1"/>
    <col min="26" max="26" width="9.86328125" style="23" bestFit="1" customWidth="1"/>
    <col min="27" max="27" width="9.3984375" style="23" bestFit="1" customWidth="1"/>
    <col min="28" max="28" width="8.265625" style="23" bestFit="1" customWidth="1"/>
    <col min="29" max="29" width="8.73046875" style="23" bestFit="1" customWidth="1"/>
    <col min="30" max="30" width="6.265625" style="23" customWidth="1"/>
    <col min="31" max="31" width="12" style="23" customWidth="1"/>
    <col min="32" max="32" width="9.1328125" style="23" customWidth="1"/>
    <col min="33" max="33" width="12.73046875" style="23" customWidth="1"/>
    <col min="34" max="34" width="10.73046875" style="23" customWidth="1"/>
    <col min="35" max="16384" width="71.1328125" style="23"/>
  </cols>
  <sheetData>
    <row r="1" spans="1:34" s="142" customFormat="1" x14ac:dyDescent="0.45">
      <c r="C1" s="142" t="s">
        <v>300</v>
      </c>
      <c r="D1" s="68">
        <v>0.25</v>
      </c>
    </row>
    <row r="2" spans="1:34" s="142" customFormat="1" x14ac:dyDescent="0.45">
      <c r="C2" s="142" t="s">
        <v>301</v>
      </c>
      <c r="D2" s="68">
        <v>0.75</v>
      </c>
    </row>
    <row r="3" spans="1:34" s="142" customFormat="1" x14ac:dyDescent="0.45">
      <c r="C3" s="142" t="s">
        <v>353</v>
      </c>
      <c r="D3" s="70">
        <v>100</v>
      </c>
    </row>
    <row r="4" spans="1:34" s="142" customFormat="1" x14ac:dyDescent="0.45">
      <c r="D4" s="70"/>
    </row>
    <row r="5" spans="1:34" x14ac:dyDescent="0.45">
      <c r="B5" s="269" t="s">
        <v>344</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row>
    <row r="6" spans="1:34" x14ac:dyDescent="0.45">
      <c r="Q6" s="272" t="s">
        <v>302</v>
      </c>
      <c r="R6" s="272"/>
      <c r="S6" s="272"/>
      <c r="T6" s="272"/>
      <c r="U6" s="272"/>
      <c r="V6" s="272"/>
      <c r="W6" s="272"/>
      <c r="X6" s="272"/>
      <c r="Y6" s="273" t="s">
        <v>303</v>
      </c>
      <c r="Z6" s="273"/>
      <c r="AA6" s="273"/>
      <c r="AB6" s="273"/>
      <c r="AC6" s="273"/>
    </row>
    <row r="7" spans="1:34" s="142" customFormat="1" x14ac:dyDescent="0.45">
      <c r="D7" s="70"/>
      <c r="Q7" s="83"/>
      <c r="R7" s="83"/>
      <c r="S7" s="83"/>
      <c r="T7" s="83"/>
      <c r="U7" s="83"/>
      <c r="V7" s="83"/>
      <c r="W7" s="83"/>
      <c r="X7" s="83"/>
      <c r="Y7" s="84"/>
      <c r="Z7" s="84"/>
      <c r="AA7" s="84"/>
      <c r="AB7" s="84"/>
      <c r="AC7" s="84"/>
    </row>
    <row r="8" spans="1:34" s="142" customFormat="1" ht="14.65" thickBot="1" x14ac:dyDescent="0.5">
      <c r="D8" s="70"/>
      <c r="Q8" s="153">
        <v>0.5</v>
      </c>
      <c r="R8" s="153">
        <f>1-Q8</f>
        <v>0.5</v>
      </c>
      <c r="S8" s="83"/>
      <c r="T8" s="153">
        <v>0.5</v>
      </c>
      <c r="U8" s="83"/>
      <c r="V8" s="83"/>
      <c r="W8" s="83"/>
      <c r="X8" s="83"/>
      <c r="Y8" s="84"/>
      <c r="Z8" s="155"/>
      <c r="AA8" s="84"/>
      <c r="AB8" s="84"/>
      <c r="AC8" s="84"/>
    </row>
    <row r="9" spans="1:34" ht="15" customHeight="1" x14ac:dyDescent="0.45">
      <c r="C9" s="266" t="s">
        <v>0</v>
      </c>
      <c r="D9" s="265" t="s">
        <v>225</v>
      </c>
      <c r="E9" s="265" t="s">
        <v>252</v>
      </c>
      <c r="F9" s="266" t="s">
        <v>16</v>
      </c>
      <c r="G9" s="82"/>
      <c r="H9" s="266" t="s">
        <v>253</v>
      </c>
      <c r="I9" s="266" t="s">
        <v>254</v>
      </c>
      <c r="J9" s="82"/>
      <c r="K9" s="266" t="s">
        <v>255</v>
      </c>
      <c r="L9" s="82" t="s">
        <v>345</v>
      </c>
      <c r="M9" s="82"/>
      <c r="N9" s="265" t="s">
        <v>338</v>
      </c>
      <c r="O9" s="265" t="s">
        <v>338</v>
      </c>
      <c r="P9" s="265" t="s">
        <v>293</v>
      </c>
      <c r="Q9" s="270">
        <v>3375</v>
      </c>
      <c r="R9" s="77"/>
      <c r="S9" s="78"/>
      <c r="T9" s="79"/>
      <c r="U9" s="79"/>
      <c r="V9" s="79"/>
      <c r="W9" s="79"/>
      <c r="X9" s="77"/>
      <c r="Y9" s="74"/>
      <c r="Z9" s="74"/>
      <c r="AA9" s="74"/>
      <c r="AB9" s="74"/>
      <c r="AC9" s="74"/>
      <c r="AD9" s="23" t="s">
        <v>304</v>
      </c>
    </row>
    <row r="10" spans="1:34" x14ac:dyDescent="0.45">
      <c r="C10" s="266"/>
      <c r="D10" s="265"/>
      <c r="E10" s="265"/>
      <c r="F10" s="266"/>
      <c r="G10" s="82"/>
      <c r="H10" s="266"/>
      <c r="I10" s="266"/>
      <c r="J10" s="82"/>
      <c r="K10" s="266"/>
      <c r="L10" s="82"/>
      <c r="M10" s="82"/>
      <c r="N10" s="265"/>
      <c r="O10" s="265"/>
      <c r="P10" s="265"/>
      <c r="Q10" s="271"/>
      <c r="R10" s="71">
        <v>3369</v>
      </c>
      <c r="S10" s="72">
        <v>3034</v>
      </c>
      <c r="T10" s="73">
        <v>3323</v>
      </c>
      <c r="U10" s="73">
        <v>3037</v>
      </c>
      <c r="V10" s="73">
        <v>6</v>
      </c>
      <c r="W10" s="73">
        <v>365</v>
      </c>
      <c r="X10" s="71">
        <v>432</v>
      </c>
      <c r="Y10" s="75">
        <v>3039</v>
      </c>
      <c r="Z10" s="75">
        <v>3040</v>
      </c>
      <c r="AA10" s="75">
        <v>3388</v>
      </c>
      <c r="AB10" s="75">
        <v>417</v>
      </c>
      <c r="AC10" s="75">
        <v>432</v>
      </c>
    </row>
    <row r="11" spans="1:34" s="70" customFormat="1" ht="28.5" x14ac:dyDescent="0.45">
      <c r="A11" s="70" t="s">
        <v>295</v>
      </c>
      <c r="C11" s="70" t="s">
        <v>100</v>
      </c>
      <c r="D11" s="69" t="s">
        <v>251</v>
      </c>
      <c r="E11" s="70">
        <v>25</v>
      </c>
      <c r="F11" s="70">
        <v>14193</v>
      </c>
      <c r="G11" s="70">
        <f>F11*$D$3</f>
        <v>1419300</v>
      </c>
      <c r="H11" s="70" t="s">
        <v>240</v>
      </c>
      <c r="I11" s="70">
        <v>216</v>
      </c>
      <c r="J11" s="70">
        <f>I11*$D$3</f>
        <v>21600</v>
      </c>
      <c r="K11" s="70" t="s">
        <v>241</v>
      </c>
      <c r="L11" s="143">
        <v>0.05</v>
      </c>
      <c r="M11" s="70" t="s">
        <v>346</v>
      </c>
      <c r="N11" s="143">
        <v>0.28999999999999998</v>
      </c>
      <c r="O11" s="143">
        <f t="shared" ref="O11:O29" si="0">L11</f>
        <v>0.05</v>
      </c>
      <c r="P11" s="143">
        <f>1-L11</f>
        <v>0.95</v>
      </c>
      <c r="Q11" s="144">
        <f>O11*G11*$Q$8</f>
        <v>35482.5</v>
      </c>
      <c r="R11" s="145">
        <f t="shared" ref="R11:R24" si="1">Q11</f>
        <v>35482.5</v>
      </c>
      <c r="S11" s="144">
        <f t="shared" ref="S11:S18" si="2">T11*$D$39</f>
        <v>168541.875</v>
      </c>
      <c r="T11" s="146">
        <f>P11*$T$8*G11</f>
        <v>674167.5</v>
      </c>
      <c r="U11" s="146">
        <f t="shared" ref="U11:U18" si="3">T11*$D$40</f>
        <v>505625.625</v>
      </c>
      <c r="V11" s="146"/>
      <c r="W11" s="146"/>
      <c r="X11" s="145"/>
      <c r="Y11" s="147">
        <f t="shared" ref="Y11:Y18" si="4">J11*0.5*$D$39</f>
        <v>2700</v>
      </c>
      <c r="Z11" s="147">
        <f t="shared" ref="Z11:Z18" si="5">$D$40*0.5*J11</f>
        <v>8100</v>
      </c>
      <c r="AA11" s="147">
        <f t="shared" ref="AA11:AA18" si="6">J11*0.5</f>
        <v>10800</v>
      </c>
      <c r="AB11" s="147"/>
      <c r="AC11" s="147"/>
      <c r="AE11" s="156">
        <f t="shared" ref="AE11:AE30" si="7">SUM(Q11:X11)</f>
        <v>1419300</v>
      </c>
      <c r="AF11" s="156">
        <f t="shared" ref="AF11:AF30" si="8">G11-AE11</f>
        <v>0</v>
      </c>
      <c r="AG11" s="156">
        <f>SUM(Y11:AC11)</f>
        <v>21600</v>
      </c>
      <c r="AH11" s="156">
        <f t="shared" ref="AH11:AH30" si="9">J11-AG11</f>
        <v>0</v>
      </c>
    </row>
    <row r="12" spans="1:34" s="70" customFormat="1" ht="28.5" x14ac:dyDescent="0.45">
      <c r="A12" s="70" t="s">
        <v>295</v>
      </c>
      <c r="C12" s="70" t="s">
        <v>100</v>
      </c>
      <c r="D12" s="69" t="s">
        <v>107</v>
      </c>
      <c r="E12" s="70">
        <v>25</v>
      </c>
      <c r="F12" s="70">
        <v>14193</v>
      </c>
      <c r="G12" s="70">
        <f t="shared" ref="G12:G30" si="10">F12*$D$3</f>
        <v>1419300</v>
      </c>
      <c r="H12" s="70" t="s">
        <v>240</v>
      </c>
      <c r="I12" s="70">
        <v>216</v>
      </c>
      <c r="J12" s="70">
        <f t="shared" ref="J12:J30" si="11">I12*$D$3</f>
        <v>21600</v>
      </c>
      <c r="K12" s="70" t="s">
        <v>241</v>
      </c>
      <c r="L12" s="143">
        <v>0.05</v>
      </c>
      <c r="M12" s="70" t="s">
        <v>346</v>
      </c>
      <c r="N12" s="143">
        <v>0.28999999999999998</v>
      </c>
      <c r="O12" s="143">
        <f t="shared" si="0"/>
        <v>0.05</v>
      </c>
      <c r="P12" s="143">
        <f t="shared" ref="P12:P30" si="12">1-L12</f>
        <v>0.95</v>
      </c>
      <c r="Q12" s="144">
        <f>O12*G12*$Q$8</f>
        <v>35482.5</v>
      </c>
      <c r="R12" s="145">
        <f t="shared" si="1"/>
        <v>35482.5</v>
      </c>
      <c r="S12" s="144">
        <f t="shared" si="2"/>
        <v>168541.875</v>
      </c>
      <c r="T12" s="146">
        <f>P12*$T$8*G12</f>
        <v>674167.5</v>
      </c>
      <c r="U12" s="146">
        <f t="shared" si="3"/>
        <v>505625.625</v>
      </c>
      <c r="V12" s="146"/>
      <c r="W12" s="146"/>
      <c r="X12" s="145"/>
      <c r="Y12" s="147">
        <f t="shared" si="4"/>
        <v>2700</v>
      </c>
      <c r="Z12" s="147">
        <f t="shared" si="5"/>
        <v>8100</v>
      </c>
      <c r="AA12" s="147">
        <f t="shared" si="6"/>
        <v>10800</v>
      </c>
      <c r="AB12" s="147"/>
      <c r="AC12" s="147"/>
      <c r="AE12" s="156">
        <f t="shared" si="7"/>
        <v>1419300</v>
      </c>
      <c r="AF12" s="156">
        <f t="shared" si="8"/>
        <v>0</v>
      </c>
      <c r="AG12" s="156">
        <f t="shared" ref="AG12:AG30" si="13">SUM(Y12:AC12)</f>
        <v>21600</v>
      </c>
      <c r="AH12" s="156">
        <f t="shared" si="9"/>
        <v>0</v>
      </c>
    </row>
    <row r="13" spans="1:34" s="70" customFormat="1" x14ac:dyDescent="0.45">
      <c r="A13" s="70" t="s">
        <v>295</v>
      </c>
      <c r="C13" s="70" t="s">
        <v>100</v>
      </c>
      <c r="D13" s="69" t="s">
        <v>244</v>
      </c>
      <c r="E13" s="70">
        <v>50</v>
      </c>
      <c r="F13" s="70">
        <v>12557</v>
      </c>
      <c r="G13" s="70">
        <f t="shared" si="10"/>
        <v>1255700</v>
      </c>
      <c r="H13" s="70" t="s">
        <v>240</v>
      </c>
      <c r="I13" s="70">
        <v>388</v>
      </c>
      <c r="J13" s="70">
        <f t="shared" si="11"/>
        <v>38800</v>
      </c>
      <c r="K13" s="70" t="s">
        <v>241</v>
      </c>
      <c r="L13" s="143">
        <v>0.05</v>
      </c>
      <c r="M13" s="70" t="s">
        <v>346</v>
      </c>
      <c r="N13" s="143">
        <v>0.25</v>
      </c>
      <c r="O13" s="143">
        <f t="shared" si="0"/>
        <v>0.05</v>
      </c>
      <c r="P13" s="143">
        <f t="shared" si="12"/>
        <v>0.95</v>
      </c>
      <c r="Q13" s="144">
        <f>O13*G13*$Q$8</f>
        <v>31392.5</v>
      </c>
      <c r="R13" s="145">
        <f t="shared" si="1"/>
        <v>31392.5</v>
      </c>
      <c r="S13" s="144">
        <f t="shared" si="2"/>
        <v>149114.375</v>
      </c>
      <c r="T13" s="146">
        <f>P13*$T$8*G13</f>
        <v>596457.5</v>
      </c>
      <c r="U13" s="146">
        <f t="shared" si="3"/>
        <v>447343.125</v>
      </c>
      <c r="V13" s="146"/>
      <c r="W13" s="146"/>
      <c r="X13" s="145"/>
      <c r="Y13" s="147">
        <f t="shared" si="4"/>
        <v>4850</v>
      </c>
      <c r="Z13" s="147">
        <f t="shared" si="5"/>
        <v>14550</v>
      </c>
      <c r="AA13" s="147">
        <f t="shared" si="6"/>
        <v>19400</v>
      </c>
      <c r="AB13" s="147"/>
      <c r="AC13" s="147"/>
      <c r="AE13" s="156">
        <f t="shared" si="7"/>
        <v>1255700</v>
      </c>
      <c r="AF13" s="156">
        <f t="shared" si="8"/>
        <v>0</v>
      </c>
      <c r="AG13" s="156">
        <f t="shared" si="13"/>
        <v>38800</v>
      </c>
      <c r="AH13" s="156">
        <f t="shared" si="9"/>
        <v>0</v>
      </c>
    </row>
    <row r="14" spans="1:34" s="70" customFormat="1" ht="28.5" x14ac:dyDescent="0.45">
      <c r="A14" s="70" t="s">
        <v>295</v>
      </c>
      <c r="C14" s="70" t="s">
        <v>100</v>
      </c>
      <c r="D14" s="69" t="s">
        <v>117</v>
      </c>
      <c r="E14" s="70">
        <v>50</v>
      </c>
      <c r="F14" s="70">
        <v>10600</v>
      </c>
      <c r="G14" s="70">
        <f t="shared" si="10"/>
        <v>1060000</v>
      </c>
      <c r="H14" s="70" t="s">
        <v>240</v>
      </c>
      <c r="I14" s="70">
        <v>170</v>
      </c>
      <c r="J14" s="70">
        <f t="shared" si="11"/>
        <v>17000</v>
      </c>
      <c r="K14" s="70" t="s">
        <v>241</v>
      </c>
      <c r="L14" s="143">
        <v>0.25</v>
      </c>
      <c r="M14" s="143" t="s">
        <v>347</v>
      </c>
      <c r="N14" s="143">
        <v>0.25</v>
      </c>
      <c r="O14" s="143">
        <f t="shared" si="0"/>
        <v>0.25</v>
      </c>
      <c r="P14" s="143">
        <f t="shared" si="12"/>
        <v>0.75</v>
      </c>
      <c r="Q14" s="144">
        <f>O14*G14*$Q$8</f>
        <v>132500</v>
      </c>
      <c r="R14" s="145">
        <f t="shared" si="1"/>
        <v>132500</v>
      </c>
      <c r="S14" s="144">
        <f t="shared" si="2"/>
        <v>99375</v>
      </c>
      <c r="T14" s="146">
        <f>P14*$T$8*G14</f>
        <v>397500</v>
      </c>
      <c r="U14" s="146">
        <f t="shared" si="3"/>
        <v>298125</v>
      </c>
      <c r="V14" s="146"/>
      <c r="W14" s="146"/>
      <c r="X14" s="145"/>
      <c r="Y14" s="147">
        <f t="shared" si="4"/>
        <v>2125</v>
      </c>
      <c r="Z14" s="147">
        <f t="shared" si="5"/>
        <v>6375</v>
      </c>
      <c r="AA14" s="147">
        <f t="shared" si="6"/>
        <v>8500</v>
      </c>
      <c r="AB14" s="147"/>
      <c r="AC14" s="147"/>
      <c r="AE14" s="156">
        <f t="shared" si="7"/>
        <v>1060000</v>
      </c>
      <c r="AF14" s="156">
        <f t="shared" si="8"/>
        <v>0</v>
      </c>
      <c r="AG14" s="156">
        <f t="shared" si="13"/>
        <v>17000</v>
      </c>
      <c r="AH14" s="156">
        <f t="shared" si="9"/>
        <v>0</v>
      </c>
    </row>
    <row r="15" spans="1:34" s="70" customFormat="1" x14ac:dyDescent="0.45">
      <c r="A15" s="70" t="s">
        <v>295</v>
      </c>
      <c r="C15" s="70" t="s">
        <v>100</v>
      </c>
      <c r="D15" s="69" t="s">
        <v>119</v>
      </c>
      <c r="E15" s="70">
        <v>50</v>
      </c>
      <c r="F15" s="70">
        <v>4743</v>
      </c>
      <c r="G15" s="70">
        <f t="shared" si="10"/>
        <v>474300</v>
      </c>
      <c r="H15" s="70" t="s">
        <v>240</v>
      </c>
      <c r="I15" s="70">
        <v>67</v>
      </c>
      <c r="J15" s="70">
        <f t="shared" si="11"/>
        <v>6700</v>
      </c>
      <c r="K15" s="70" t="s">
        <v>241</v>
      </c>
      <c r="L15" s="143">
        <v>0.05</v>
      </c>
      <c r="M15" s="143" t="s">
        <v>346</v>
      </c>
      <c r="N15" s="143">
        <v>0.25</v>
      </c>
      <c r="O15" s="143">
        <f t="shared" si="0"/>
        <v>0.05</v>
      </c>
      <c r="P15" s="143">
        <f t="shared" si="12"/>
        <v>0.95</v>
      </c>
      <c r="Q15" s="144">
        <f>O15*G15*$Q$8</f>
        <v>11857.5</v>
      </c>
      <c r="R15" s="145">
        <f t="shared" si="1"/>
        <v>11857.5</v>
      </c>
      <c r="S15" s="144">
        <f t="shared" si="2"/>
        <v>56323.125</v>
      </c>
      <c r="T15" s="146">
        <f>P15*$T$8*G15</f>
        <v>225292.5</v>
      </c>
      <c r="U15" s="146">
        <f t="shared" si="3"/>
        <v>168969.375</v>
      </c>
      <c r="V15" s="146"/>
      <c r="W15" s="146"/>
      <c r="X15" s="145"/>
      <c r="Y15" s="147">
        <f t="shared" si="4"/>
        <v>837.5</v>
      </c>
      <c r="Z15" s="147">
        <f t="shared" si="5"/>
        <v>2512.5</v>
      </c>
      <c r="AA15" s="147">
        <f t="shared" si="6"/>
        <v>3350</v>
      </c>
      <c r="AB15" s="147"/>
      <c r="AC15" s="147"/>
      <c r="AE15" s="156">
        <f t="shared" si="7"/>
        <v>474300</v>
      </c>
      <c r="AF15" s="156">
        <f t="shared" si="8"/>
        <v>0</v>
      </c>
      <c r="AG15" s="156">
        <f t="shared" si="13"/>
        <v>6700</v>
      </c>
      <c r="AH15" s="156">
        <f t="shared" si="9"/>
        <v>0</v>
      </c>
    </row>
    <row r="16" spans="1:34" s="70" customFormat="1" x14ac:dyDescent="0.45">
      <c r="A16" s="70" t="s">
        <v>295</v>
      </c>
      <c r="C16" s="70" t="s">
        <v>100</v>
      </c>
      <c r="D16" s="69" t="s">
        <v>236</v>
      </c>
      <c r="E16" s="70">
        <v>20</v>
      </c>
      <c r="F16" s="70">
        <v>101956</v>
      </c>
      <c r="G16" s="70">
        <f t="shared" si="10"/>
        <v>10195600</v>
      </c>
      <c r="H16" s="70" t="s">
        <v>230</v>
      </c>
      <c r="I16" s="70">
        <v>3610</v>
      </c>
      <c r="J16" s="70">
        <f t="shared" si="11"/>
        <v>361000</v>
      </c>
      <c r="K16" s="70" t="s">
        <v>237</v>
      </c>
      <c r="L16" s="143">
        <v>0.05</v>
      </c>
      <c r="M16" s="70" t="s">
        <v>346</v>
      </c>
      <c r="N16" s="143">
        <v>0.09</v>
      </c>
      <c r="O16" s="143">
        <f t="shared" si="0"/>
        <v>0.05</v>
      </c>
      <c r="P16" s="143">
        <f t="shared" si="12"/>
        <v>0.95</v>
      </c>
      <c r="Q16" s="144">
        <f>O16*F16*$Q$8</f>
        <v>2548.9</v>
      </c>
      <c r="R16" s="145">
        <f t="shared" si="1"/>
        <v>2548.9</v>
      </c>
      <c r="S16" s="144">
        <f t="shared" si="2"/>
        <v>12107.275</v>
      </c>
      <c r="T16" s="146">
        <f>P16*$T$8*F16</f>
        <v>48429.1</v>
      </c>
      <c r="U16" s="146">
        <f t="shared" si="3"/>
        <v>36321.824999999997</v>
      </c>
      <c r="V16" s="146"/>
      <c r="W16" s="146"/>
      <c r="X16" s="145"/>
      <c r="Y16" s="147">
        <f t="shared" si="4"/>
        <v>45125</v>
      </c>
      <c r="Z16" s="147">
        <f t="shared" si="5"/>
        <v>135375</v>
      </c>
      <c r="AA16" s="147">
        <f t="shared" si="6"/>
        <v>180500</v>
      </c>
      <c r="AB16" s="147"/>
      <c r="AC16" s="147"/>
      <c r="AE16" s="156">
        <f t="shared" si="7"/>
        <v>101956</v>
      </c>
      <c r="AF16" s="156">
        <f t="shared" si="8"/>
        <v>10093644</v>
      </c>
      <c r="AG16" s="156">
        <f t="shared" si="13"/>
        <v>361000</v>
      </c>
      <c r="AH16" s="156">
        <f t="shared" si="9"/>
        <v>0</v>
      </c>
    </row>
    <row r="17" spans="1:34" s="70" customFormat="1" ht="28.5" x14ac:dyDescent="0.45">
      <c r="A17" s="70" t="s">
        <v>295</v>
      </c>
      <c r="C17" s="70" t="s">
        <v>100</v>
      </c>
      <c r="D17" s="69" t="s">
        <v>245</v>
      </c>
      <c r="E17" s="70">
        <v>20</v>
      </c>
      <c r="F17" s="70">
        <v>101956</v>
      </c>
      <c r="G17" s="70">
        <f t="shared" si="10"/>
        <v>10195600</v>
      </c>
      <c r="H17" s="70" t="s">
        <v>246</v>
      </c>
      <c r="I17" s="70">
        <v>3610</v>
      </c>
      <c r="J17" s="70">
        <f t="shared" si="11"/>
        <v>361000</v>
      </c>
      <c r="K17" s="70" t="s">
        <v>241</v>
      </c>
      <c r="L17" s="143">
        <v>0.1</v>
      </c>
      <c r="M17" s="70" t="s">
        <v>349</v>
      </c>
      <c r="N17" s="143">
        <v>0.09</v>
      </c>
      <c r="O17" s="143">
        <f t="shared" si="0"/>
        <v>0.1</v>
      </c>
      <c r="P17" s="143">
        <f t="shared" si="12"/>
        <v>0.9</v>
      </c>
      <c r="Q17" s="144">
        <f t="shared" ref="Q17:Q24" si="14">O17*G17*$Q$8</f>
        <v>509780</v>
      </c>
      <c r="R17" s="145">
        <f t="shared" si="1"/>
        <v>509780</v>
      </c>
      <c r="S17" s="144">
        <f t="shared" si="2"/>
        <v>1147005</v>
      </c>
      <c r="T17" s="146">
        <f>P17*$T$8*G17</f>
        <v>4588020</v>
      </c>
      <c r="U17" s="146">
        <f t="shared" si="3"/>
        <v>3441015</v>
      </c>
      <c r="V17" s="146"/>
      <c r="W17" s="146"/>
      <c r="X17" s="145"/>
      <c r="Y17" s="147">
        <f t="shared" si="4"/>
        <v>45125</v>
      </c>
      <c r="Z17" s="147">
        <f t="shared" si="5"/>
        <v>135375</v>
      </c>
      <c r="AA17" s="147">
        <f t="shared" si="6"/>
        <v>180500</v>
      </c>
      <c r="AB17" s="147"/>
      <c r="AC17" s="147"/>
      <c r="AE17" s="156">
        <f t="shared" si="7"/>
        <v>10195600</v>
      </c>
      <c r="AF17" s="156">
        <f t="shared" si="8"/>
        <v>0</v>
      </c>
      <c r="AG17" s="156">
        <f t="shared" si="13"/>
        <v>361000</v>
      </c>
      <c r="AH17" s="156">
        <f t="shared" si="9"/>
        <v>0</v>
      </c>
    </row>
    <row r="18" spans="1:34" s="70" customFormat="1" ht="28.5" x14ac:dyDescent="0.45">
      <c r="A18" s="70" t="s">
        <v>295</v>
      </c>
      <c r="C18" s="70" t="s">
        <v>100</v>
      </c>
      <c r="D18" s="69" t="s">
        <v>250</v>
      </c>
      <c r="E18" s="70">
        <v>20</v>
      </c>
      <c r="F18" s="70">
        <v>101956</v>
      </c>
      <c r="G18" s="70">
        <f t="shared" si="10"/>
        <v>10195600</v>
      </c>
      <c r="H18" s="70" t="s">
        <v>246</v>
      </c>
      <c r="I18" s="70">
        <v>3610</v>
      </c>
      <c r="J18" s="70">
        <f t="shared" si="11"/>
        <v>361000</v>
      </c>
      <c r="K18" s="70" t="s">
        <v>241</v>
      </c>
      <c r="L18" s="143">
        <v>0.1</v>
      </c>
      <c r="M18" s="70" t="s">
        <v>349</v>
      </c>
      <c r="N18" s="143">
        <v>0.09</v>
      </c>
      <c r="O18" s="143">
        <f t="shared" si="0"/>
        <v>0.1</v>
      </c>
      <c r="P18" s="143">
        <f t="shared" si="12"/>
        <v>0.9</v>
      </c>
      <c r="Q18" s="144">
        <f t="shared" si="14"/>
        <v>509780</v>
      </c>
      <c r="R18" s="145">
        <f t="shared" si="1"/>
        <v>509780</v>
      </c>
      <c r="S18" s="144">
        <f t="shared" si="2"/>
        <v>1147005</v>
      </c>
      <c r="T18" s="146">
        <f>P18*$T$8*G18</f>
        <v>4588020</v>
      </c>
      <c r="U18" s="146">
        <f t="shared" si="3"/>
        <v>3441015</v>
      </c>
      <c r="V18" s="146"/>
      <c r="W18" s="146"/>
      <c r="X18" s="145"/>
      <c r="Y18" s="147">
        <f t="shared" si="4"/>
        <v>45125</v>
      </c>
      <c r="Z18" s="147">
        <f t="shared" si="5"/>
        <v>135375</v>
      </c>
      <c r="AA18" s="147">
        <f t="shared" si="6"/>
        <v>180500</v>
      </c>
      <c r="AB18" s="147"/>
      <c r="AC18" s="147"/>
      <c r="AE18" s="156">
        <f t="shared" si="7"/>
        <v>10195600</v>
      </c>
      <c r="AF18" s="156">
        <f t="shared" si="8"/>
        <v>0</v>
      </c>
      <c r="AG18" s="156">
        <f t="shared" si="13"/>
        <v>361000</v>
      </c>
      <c r="AH18" s="156">
        <f t="shared" si="9"/>
        <v>0</v>
      </c>
    </row>
    <row r="19" spans="1:34" s="70" customFormat="1" x14ac:dyDescent="0.45">
      <c r="A19" s="70" t="s">
        <v>295</v>
      </c>
      <c r="C19" s="70" t="s">
        <v>100</v>
      </c>
      <c r="D19" s="69" t="s">
        <v>256</v>
      </c>
      <c r="E19" s="70">
        <v>20</v>
      </c>
      <c r="F19" s="70">
        <v>6049</v>
      </c>
      <c r="G19" s="70">
        <f t="shared" si="10"/>
        <v>604900</v>
      </c>
      <c r="H19" s="70" t="s">
        <v>230</v>
      </c>
      <c r="I19" s="70">
        <v>430.69</v>
      </c>
      <c r="J19" s="70">
        <f t="shared" si="11"/>
        <v>43069</v>
      </c>
      <c r="K19" s="70" t="s">
        <v>231</v>
      </c>
      <c r="L19" s="143">
        <v>0</v>
      </c>
      <c r="M19" s="70" t="s">
        <v>351</v>
      </c>
      <c r="N19" s="143"/>
      <c r="O19" s="143">
        <f t="shared" si="0"/>
        <v>0</v>
      </c>
      <c r="P19" s="143">
        <f t="shared" si="12"/>
        <v>1</v>
      </c>
      <c r="Q19" s="144">
        <f t="shared" si="14"/>
        <v>0</v>
      </c>
      <c r="R19" s="145">
        <f t="shared" si="1"/>
        <v>0</v>
      </c>
      <c r="S19" s="144"/>
      <c r="T19" s="146"/>
      <c r="U19" s="146"/>
      <c r="V19" s="146"/>
      <c r="W19" s="146">
        <f>0.25*G19</f>
        <v>151225</v>
      </c>
      <c r="X19" s="145">
        <f>0.75*G19</f>
        <v>453675</v>
      </c>
      <c r="Y19" s="147"/>
      <c r="Z19" s="147"/>
      <c r="AA19" s="147"/>
      <c r="AB19" s="147">
        <f>J19*0.5</f>
        <v>21534.5</v>
      </c>
      <c r="AC19" s="147">
        <f>AB19</f>
        <v>21534.5</v>
      </c>
      <c r="AE19" s="156">
        <f t="shared" si="7"/>
        <v>604900</v>
      </c>
      <c r="AF19" s="156">
        <f t="shared" si="8"/>
        <v>0</v>
      </c>
      <c r="AG19" s="156">
        <f t="shared" si="13"/>
        <v>43069</v>
      </c>
      <c r="AH19" s="156">
        <f t="shared" si="9"/>
        <v>0</v>
      </c>
    </row>
    <row r="20" spans="1:34" s="157" customFormat="1" x14ac:dyDescent="0.45">
      <c r="A20" s="157" t="s">
        <v>295</v>
      </c>
      <c r="C20" s="157" t="s">
        <v>100</v>
      </c>
      <c r="D20" s="157" t="s">
        <v>124</v>
      </c>
      <c r="E20" s="157">
        <v>25</v>
      </c>
      <c r="F20" s="157">
        <v>20021</v>
      </c>
      <c r="G20" s="157">
        <f t="shared" si="10"/>
        <v>2002100</v>
      </c>
      <c r="H20" s="157" t="s">
        <v>240</v>
      </c>
      <c r="I20" s="157">
        <v>773</v>
      </c>
      <c r="J20" s="157">
        <f t="shared" si="11"/>
        <v>77300</v>
      </c>
      <c r="K20" s="157" t="s">
        <v>241</v>
      </c>
      <c r="L20" s="158">
        <v>0.05</v>
      </c>
      <c r="M20" s="157" t="s">
        <v>347</v>
      </c>
      <c r="N20" s="158">
        <v>0.25</v>
      </c>
      <c r="O20" s="158">
        <f t="shared" si="0"/>
        <v>0.05</v>
      </c>
      <c r="P20" s="158">
        <f t="shared" si="12"/>
        <v>0.95</v>
      </c>
      <c r="Q20" s="159">
        <f t="shared" si="14"/>
        <v>50052.5</v>
      </c>
      <c r="R20" s="160">
        <f t="shared" si="1"/>
        <v>50052.5</v>
      </c>
      <c r="S20" s="159">
        <f>T20*$D$39</f>
        <v>237749.375</v>
      </c>
      <c r="T20" s="161">
        <f>P20*$T$8*G20</f>
        <v>950997.5</v>
      </c>
      <c r="U20" s="161">
        <f>T20*$D$40</f>
        <v>713248.125</v>
      </c>
      <c r="V20" s="161"/>
      <c r="W20" s="161"/>
      <c r="X20" s="160"/>
      <c r="Y20" s="162">
        <f>J20*0.5*$D$39</f>
        <v>9662.5</v>
      </c>
      <c r="Z20" s="162">
        <f>$D$40*0.5*J20</f>
        <v>28987.5</v>
      </c>
      <c r="AA20" s="162">
        <f>J20*0.5</f>
        <v>38650</v>
      </c>
      <c r="AB20" s="162"/>
      <c r="AC20" s="162"/>
      <c r="AE20" s="162">
        <f t="shared" si="7"/>
        <v>2002100</v>
      </c>
      <c r="AF20" s="162">
        <f t="shared" si="8"/>
        <v>0</v>
      </c>
      <c r="AG20" s="162">
        <f t="shared" si="13"/>
        <v>77300</v>
      </c>
      <c r="AH20" s="162">
        <f t="shared" si="9"/>
        <v>0</v>
      </c>
    </row>
    <row r="21" spans="1:34" s="70" customFormat="1" x14ac:dyDescent="0.45">
      <c r="A21" s="70" t="s">
        <v>295</v>
      </c>
      <c r="C21" s="70" t="s">
        <v>100</v>
      </c>
      <c r="D21" s="69" t="s">
        <v>126</v>
      </c>
      <c r="E21" s="70">
        <v>75</v>
      </c>
      <c r="F21" s="70">
        <v>683.38</v>
      </c>
      <c r="G21" s="70">
        <f t="shared" si="10"/>
        <v>68338</v>
      </c>
      <c r="H21" s="70" t="s">
        <v>230</v>
      </c>
      <c r="I21" s="70">
        <v>0</v>
      </c>
      <c r="J21" s="70">
        <f t="shared" si="11"/>
        <v>0</v>
      </c>
      <c r="K21" s="70" t="s">
        <v>231</v>
      </c>
      <c r="L21" s="143">
        <v>0.1</v>
      </c>
      <c r="M21" s="70" t="s">
        <v>350</v>
      </c>
      <c r="N21" s="143">
        <v>0.09</v>
      </c>
      <c r="O21" s="143">
        <f t="shared" si="0"/>
        <v>0.1</v>
      </c>
      <c r="P21" s="143">
        <f t="shared" si="12"/>
        <v>0.9</v>
      </c>
      <c r="Q21" s="144">
        <f t="shared" si="14"/>
        <v>3416.9</v>
      </c>
      <c r="R21" s="145">
        <f t="shared" si="1"/>
        <v>3416.9</v>
      </c>
      <c r="S21" s="144">
        <f>V21</f>
        <v>30752.100000000002</v>
      </c>
      <c r="T21" s="146"/>
      <c r="U21" s="146"/>
      <c r="V21" s="146">
        <f>0.5*G21*P21</f>
        <v>30752.100000000002</v>
      </c>
      <c r="W21" s="146"/>
      <c r="X21" s="145"/>
      <c r="Y21" s="147"/>
      <c r="Z21" s="147"/>
      <c r="AA21" s="147">
        <f>I21</f>
        <v>0</v>
      </c>
      <c r="AB21" s="147"/>
      <c r="AC21" s="147"/>
      <c r="AE21" s="156">
        <f t="shared" si="7"/>
        <v>68338</v>
      </c>
      <c r="AF21" s="156">
        <f t="shared" si="8"/>
        <v>0</v>
      </c>
      <c r="AG21" s="156">
        <f t="shared" si="13"/>
        <v>0</v>
      </c>
      <c r="AH21" s="156">
        <f t="shared" si="9"/>
        <v>0</v>
      </c>
    </row>
    <row r="22" spans="1:34" s="70" customFormat="1" x14ac:dyDescent="0.45">
      <c r="A22" s="70" t="s">
        <v>296</v>
      </c>
      <c r="C22" s="70" t="s">
        <v>100</v>
      </c>
      <c r="D22" s="69" t="s">
        <v>238</v>
      </c>
      <c r="E22" s="70">
        <v>10</v>
      </c>
      <c r="F22" s="70">
        <v>346.67</v>
      </c>
      <c r="G22" s="70">
        <f t="shared" si="10"/>
        <v>34667</v>
      </c>
      <c r="H22" s="70" t="s">
        <v>230</v>
      </c>
      <c r="I22" s="70">
        <v>0</v>
      </c>
      <c r="J22" s="70">
        <f t="shared" si="11"/>
        <v>0</v>
      </c>
      <c r="K22" s="70" t="s">
        <v>231</v>
      </c>
      <c r="L22" s="143">
        <v>0.1</v>
      </c>
      <c r="M22" s="70" t="s">
        <v>350</v>
      </c>
      <c r="N22" s="143">
        <v>0.09</v>
      </c>
      <c r="O22" s="143">
        <f t="shared" si="0"/>
        <v>0.1</v>
      </c>
      <c r="P22" s="143">
        <f t="shared" si="12"/>
        <v>0.9</v>
      </c>
      <c r="Q22" s="144">
        <f t="shared" si="14"/>
        <v>1733.3500000000001</v>
      </c>
      <c r="R22" s="145">
        <f t="shared" si="1"/>
        <v>1733.3500000000001</v>
      </c>
      <c r="S22" s="144">
        <f>V22</f>
        <v>15600.15</v>
      </c>
      <c r="T22" s="146"/>
      <c r="U22" s="146"/>
      <c r="V22" s="146">
        <f>0.5*G22*P22</f>
        <v>15600.15</v>
      </c>
      <c r="W22" s="146"/>
      <c r="X22" s="145"/>
      <c r="Y22" s="147"/>
      <c r="Z22" s="147"/>
      <c r="AA22" s="147">
        <f>I22</f>
        <v>0</v>
      </c>
      <c r="AB22" s="147"/>
      <c r="AC22" s="147"/>
      <c r="AE22" s="156">
        <f t="shared" si="7"/>
        <v>34667</v>
      </c>
      <c r="AF22" s="156">
        <f t="shared" si="8"/>
        <v>0</v>
      </c>
      <c r="AG22" s="156">
        <f t="shared" si="13"/>
        <v>0</v>
      </c>
      <c r="AH22" s="156">
        <f t="shared" si="9"/>
        <v>0</v>
      </c>
    </row>
    <row r="23" spans="1:34" s="70" customFormat="1" ht="28.5" x14ac:dyDescent="0.45">
      <c r="A23" s="70" t="s">
        <v>296</v>
      </c>
      <c r="C23" s="70" t="s">
        <v>100</v>
      </c>
      <c r="D23" s="69" t="s">
        <v>243</v>
      </c>
      <c r="E23" s="70">
        <v>50</v>
      </c>
      <c r="F23" s="70">
        <v>16415</v>
      </c>
      <c r="G23" s="70">
        <f t="shared" si="10"/>
        <v>1641500</v>
      </c>
      <c r="H23" s="70" t="s">
        <v>240</v>
      </c>
      <c r="I23" s="70">
        <v>345</v>
      </c>
      <c r="J23" s="70">
        <f t="shared" si="11"/>
        <v>34500</v>
      </c>
      <c r="K23" s="70" t="s">
        <v>241</v>
      </c>
      <c r="L23" s="143">
        <v>0.05</v>
      </c>
      <c r="M23" s="70" t="s">
        <v>346</v>
      </c>
      <c r="N23" s="143">
        <v>0.25</v>
      </c>
      <c r="O23" s="143">
        <f t="shared" si="0"/>
        <v>0.05</v>
      </c>
      <c r="P23" s="143">
        <f t="shared" si="12"/>
        <v>0.95</v>
      </c>
      <c r="Q23" s="144">
        <f t="shared" si="14"/>
        <v>41037.5</v>
      </c>
      <c r="R23" s="145">
        <f t="shared" si="1"/>
        <v>41037.5</v>
      </c>
      <c r="S23" s="144">
        <f>T23*$D$39</f>
        <v>194928.125</v>
      </c>
      <c r="T23" s="146">
        <f>P23*$T$8*G23</f>
        <v>779712.5</v>
      </c>
      <c r="U23" s="146">
        <f>T23*$D$40</f>
        <v>584784.375</v>
      </c>
      <c r="V23" s="146"/>
      <c r="W23" s="146"/>
      <c r="X23" s="145"/>
      <c r="Y23" s="147">
        <f>J23*0.5*$D$39</f>
        <v>4312.5</v>
      </c>
      <c r="Z23" s="147">
        <f>$D$40*0.5*J23</f>
        <v>12937.5</v>
      </c>
      <c r="AA23" s="147">
        <f>J23*0.5</f>
        <v>17250</v>
      </c>
      <c r="AB23" s="147"/>
      <c r="AC23" s="147"/>
      <c r="AE23" s="156">
        <f t="shared" si="7"/>
        <v>1641500</v>
      </c>
      <c r="AF23" s="156">
        <f t="shared" si="8"/>
        <v>0</v>
      </c>
      <c r="AG23" s="156">
        <f t="shared" si="13"/>
        <v>34500</v>
      </c>
      <c r="AH23" s="156">
        <f t="shared" si="9"/>
        <v>0</v>
      </c>
    </row>
    <row r="24" spans="1:34" s="70" customFormat="1" ht="28.5" x14ac:dyDescent="0.45">
      <c r="A24" s="70" t="s">
        <v>296</v>
      </c>
      <c r="C24" s="70" t="s">
        <v>100</v>
      </c>
      <c r="D24" s="69" t="s">
        <v>242</v>
      </c>
      <c r="E24" s="70">
        <v>50</v>
      </c>
      <c r="F24" s="70">
        <v>16415</v>
      </c>
      <c r="G24" s="70">
        <f t="shared" si="10"/>
        <v>1641500</v>
      </c>
      <c r="H24" s="70" t="s">
        <v>240</v>
      </c>
      <c r="I24" s="70">
        <v>345</v>
      </c>
      <c r="J24" s="70">
        <f t="shared" si="11"/>
        <v>34500</v>
      </c>
      <c r="K24" s="70" t="s">
        <v>241</v>
      </c>
      <c r="L24" s="143">
        <v>0.05</v>
      </c>
      <c r="M24" s="70" t="s">
        <v>346</v>
      </c>
      <c r="N24" s="143">
        <v>0.25</v>
      </c>
      <c r="O24" s="143">
        <f t="shared" si="0"/>
        <v>0.05</v>
      </c>
      <c r="P24" s="143">
        <f t="shared" si="12"/>
        <v>0.95</v>
      </c>
      <c r="Q24" s="144">
        <f t="shared" si="14"/>
        <v>41037.5</v>
      </c>
      <c r="R24" s="145">
        <f t="shared" si="1"/>
        <v>41037.5</v>
      </c>
      <c r="S24" s="144">
        <f>T24*$D$39</f>
        <v>194928.125</v>
      </c>
      <c r="T24" s="146">
        <f>P24*$T$8*G24</f>
        <v>779712.5</v>
      </c>
      <c r="U24" s="146">
        <f>T24*$D$40</f>
        <v>584784.375</v>
      </c>
      <c r="V24" s="146"/>
      <c r="W24" s="146"/>
      <c r="X24" s="145"/>
      <c r="Y24" s="147">
        <f>J24*0.5*$D$39</f>
        <v>4312.5</v>
      </c>
      <c r="Z24" s="147">
        <f>$D$40*0.5*J24</f>
        <v>12937.5</v>
      </c>
      <c r="AA24" s="147">
        <f>J24*0.5</f>
        <v>17250</v>
      </c>
      <c r="AB24" s="147"/>
      <c r="AC24" s="147"/>
      <c r="AE24" s="156">
        <f t="shared" si="7"/>
        <v>1641500</v>
      </c>
      <c r="AF24" s="156">
        <f t="shared" si="8"/>
        <v>0</v>
      </c>
      <c r="AG24" s="156">
        <f t="shared" si="13"/>
        <v>34500</v>
      </c>
      <c r="AH24" s="156">
        <f t="shared" si="9"/>
        <v>0</v>
      </c>
    </row>
    <row r="25" spans="1:34" s="70" customFormat="1" x14ac:dyDescent="0.45">
      <c r="A25" s="70" t="s">
        <v>296</v>
      </c>
      <c r="C25" s="70" t="s">
        <v>100</v>
      </c>
      <c r="D25" s="69" t="s">
        <v>129</v>
      </c>
      <c r="E25" s="70">
        <v>3</v>
      </c>
      <c r="F25" s="70">
        <v>52.5</v>
      </c>
      <c r="G25" s="70">
        <f t="shared" si="10"/>
        <v>5250</v>
      </c>
      <c r="H25" s="70" t="s">
        <v>230</v>
      </c>
      <c r="I25" s="70" t="s">
        <v>354</v>
      </c>
      <c r="J25" s="70">
        <f>G25</f>
        <v>5250</v>
      </c>
      <c r="K25" s="70" t="s">
        <v>231</v>
      </c>
      <c r="L25" s="70" t="s">
        <v>348</v>
      </c>
      <c r="M25" s="70" t="s">
        <v>352</v>
      </c>
      <c r="N25" s="143"/>
      <c r="O25" s="143" t="str">
        <f t="shared" si="0"/>
        <v>-</v>
      </c>
      <c r="P25" s="143" t="e">
        <f t="shared" si="12"/>
        <v>#VALUE!</v>
      </c>
      <c r="Q25" s="144"/>
      <c r="R25" s="145"/>
      <c r="S25" s="144"/>
      <c r="T25" s="146"/>
      <c r="U25" s="146"/>
      <c r="V25" s="146"/>
      <c r="W25" s="146"/>
      <c r="X25" s="145">
        <f>G25</f>
        <v>5250</v>
      </c>
      <c r="Y25" s="147"/>
      <c r="Z25" s="147"/>
      <c r="AA25" s="147"/>
      <c r="AB25" s="147"/>
      <c r="AC25" s="147">
        <f>X25</f>
        <v>5250</v>
      </c>
      <c r="AE25" s="156">
        <f t="shared" si="7"/>
        <v>5250</v>
      </c>
      <c r="AF25" s="156">
        <f t="shared" si="8"/>
        <v>0</v>
      </c>
      <c r="AG25" s="156">
        <f t="shared" si="13"/>
        <v>5250</v>
      </c>
      <c r="AH25" s="156">
        <f t="shared" si="9"/>
        <v>0</v>
      </c>
    </row>
    <row r="26" spans="1:34" s="70" customFormat="1" x14ac:dyDescent="0.45">
      <c r="A26" s="70" t="s">
        <v>296</v>
      </c>
      <c r="C26" s="70" t="s">
        <v>100</v>
      </c>
      <c r="D26" s="69" t="s">
        <v>131</v>
      </c>
      <c r="E26" s="70">
        <v>20</v>
      </c>
      <c r="F26" s="70">
        <v>645</v>
      </c>
      <c r="G26" s="70">
        <f t="shared" si="10"/>
        <v>64500</v>
      </c>
      <c r="H26" s="70" t="s">
        <v>234</v>
      </c>
      <c r="I26" s="70">
        <v>8.6</v>
      </c>
      <c r="J26" s="70">
        <f t="shared" si="11"/>
        <v>860</v>
      </c>
      <c r="K26" s="70" t="s">
        <v>233</v>
      </c>
      <c r="L26" s="143">
        <v>0.1</v>
      </c>
      <c r="M26" s="70" t="s">
        <v>350</v>
      </c>
      <c r="N26" s="143">
        <v>0.09</v>
      </c>
      <c r="O26" s="143">
        <f t="shared" si="0"/>
        <v>0.1</v>
      </c>
      <c r="P26" s="143">
        <f t="shared" si="12"/>
        <v>0.9</v>
      </c>
      <c r="Q26" s="144">
        <f>O26*G26*$Q$8</f>
        <v>3225</v>
      </c>
      <c r="R26" s="145">
        <f>Q26</f>
        <v>3225</v>
      </c>
      <c r="S26" s="144">
        <f>V26</f>
        <v>29025</v>
      </c>
      <c r="T26" s="146"/>
      <c r="U26" s="146"/>
      <c r="V26" s="146">
        <f>0.5*G26*P26</f>
        <v>29025</v>
      </c>
      <c r="W26" s="146"/>
      <c r="X26" s="145"/>
      <c r="Y26" s="147"/>
      <c r="Z26" s="147"/>
      <c r="AA26" s="147">
        <v>860</v>
      </c>
      <c r="AB26" s="147"/>
      <c r="AC26" s="147"/>
      <c r="AE26" s="156">
        <f t="shared" si="7"/>
        <v>64500</v>
      </c>
      <c r="AF26" s="156">
        <f t="shared" si="8"/>
        <v>0</v>
      </c>
      <c r="AG26" s="156">
        <f t="shared" si="13"/>
        <v>860</v>
      </c>
      <c r="AH26" s="156">
        <f t="shared" si="9"/>
        <v>0</v>
      </c>
    </row>
    <row r="27" spans="1:34" s="70" customFormat="1" x14ac:dyDescent="0.45">
      <c r="A27" s="70" t="s">
        <v>296</v>
      </c>
      <c r="C27" s="70" t="s">
        <v>100</v>
      </c>
      <c r="D27" s="69" t="s">
        <v>134</v>
      </c>
      <c r="E27" s="70">
        <v>75</v>
      </c>
      <c r="F27" s="70">
        <v>1042</v>
      </c>
      <c r="G27" s="70">
        <f t="shared" si="10"/>
        <v>104200</v>
      </c>
      <c r="H27" s="70" t="s">
        <v>230</v>
      </c>
      <c r="I27" s="70">
        <v>0</v>
      </c>
      <c r="J27" s="70">
        <f t="shared" si="11"/>
        <v>0</v>
      </c>
      <c r="K27" s="70" t="s">
        <v>231</v>
      </c>
      <c r="L27" s="143">
        <v>0.1</v>
      </c>
      <c r="M27" s="70" t="s">
        <v>350</v>
      </c>
      <c r="N27" s="143">
        <v>0.09</v>
      </c>
      <c r="O27" s="143">
        <f t="shared" si="0"/>
        <v>0.1</v>
      </c>
      <c r="P27" s="143">
        <f t="shared" si="12"/>
        <v>0.9</v>
      </c>
      <c r="Q27" s="144">
        <f>O27*G27*$Q$8</f>
        <v>5210</v>
      </c>
      <c r="R27" s="145">
        <f>Q27</f>
        <v>5210</v>
      </c>
      <c r="S27" s="144">
        <f>V27</f>
        <v>46890</v>
      </c>
      <c r="T27" s="146"/>
      <c r="U27" s="146"/>
      <c r="V27" s="146">
        <f t="shared" ref="V27:V30" si="15">0.5*G27*P27</f>
        <v>46890</v>
      </c>
      <c r="W27" s="146"/>
      <c r="X27" s="145"/>
      <c r="Y27" s="147"/>
      <c r="Z27" s="147"/>
      <c r="AA27" s="147">
        <f t="shared" ref="AA27:AA30" si="16">J27</f>
        <v>0</v>
      </c>
      <c r="AB27" s="147"/>
      <c r="AC27" s="147"/>
      <c r="AE27" s="156">
        <f t="shared" si="7"/>
        <v>104200</v>
      </c>
      <c r="AF27" s="156">
        <f t="shared" si="8"/>
        <v>0</v>
      </c>
      <c r="AG27" s="156">
        <f t="shared" si="13"/>
        <v>0</v>
      </c>
      <c r="AH27" s="156">
        <f t="shared" si="9"/>
        <v>0</v>
      </c>
    </row>
    <row r="28" spans="1:34" s="70" customFormat="1" ht="28.5" x14ac:dyDescent="0.45">
      <c r="A28" s="70" t="s">
        <v>297</v>
      </c>
      <c r="C28" s="70" t="s">
        <v>100</v>
      </c>
      <c r="D28" s="69" t="s">
        <v>247</v>
      </c>
      <c r="E28" s="70">
        <v>20</v>
      </c>
      <c r="F28" s="70">
        <v>6281</v>
      </c>
      <c r="G28" s="70">
        <f t="shared" si="10"/>
        <v>628100</v>
      </c>
      <c r="H28" s="70" t="s">
        <v>240</v>
      </c>
      <c r="I28" s="70">
        <v>314</v>
      </c>
      <c r="J28" s="70">
        <f t="shared" si="11"/>
        <v>31400</v>
      </c>
      <c r="K28" s="70" t="s">
        <v>241</v>
      </c>
      <c r="L28" s="143">
        <v>0.1</v>
      </c>
      <c r="M28" s="70" t="s">
        <v>350</v>
      </c>
      <c r="N28" s="143">
        <v>0.09</v>
      </c>
      <c r="O28" s="143">
        <f t="shared" si="0"/>
        <v>0.1</v>
      </c>
      <c r="P28" s="143">
        <f t="shared" si="12"/>
        <v>0.9</v>
      </c>
      <c r="Q28" s="144">
        <f>O28*G28*$Q$8</f>
        <v>31405</v>
      </c>
      <c r="R28" s="145">
        <f>Q28</f>
        <v>31405</v>
      </c>
      <c r="S28" s="144">
        <f>V28</f>
        <v>282645</v>
      </c>
      <c r="T28" s="146"/>
      <c r="U28" s="146"/>
      <c r="V28" s="146">
        <f t="shared" si="15"/>
        <v>282645</v>
      </c>
      <c r="W28" s="146"/>
      <c r="X28" s="145"/>
      <c r="Y28" s="147"/>
      <c r="Z28" s="147"/>
      <c r="AA28" s="147">
        <f t="shared" si="16"/>
        <v>31400</v>
      </c>
      <c r="AB28" s="147"/>
      <c r="AC28" s="147"/>
      <c r="AE28" s="156">
        <f t="shared" si="7"/>
        <v>628100</v>
      </c>
      <c r="AF28" s="156">
        <f t="shared" si="8"/>
        <v>0</v>
      </c>
      <c r="AG28" s="156">
        <f t="shared" si="13"/>
        <v>31400</v>
      </c>
      <c r="AH28" s="156">
        <f t="shared" si="9"/>
        <v>0</v>
      </c>
    </row>
    <row r="29" spans="1:34" s="70" customFormat="1" ht="28.5" x14ac:dyDescent="0.45">
      <c r="A29" s="70" t="s">
        <v>298</v>
      </c>
      <c r="C29" s="70" t="s">
        <v>100</v>
      </c>
      <c r="D29" s="69" t="s">
        <v>249</v>
      </c>
      <c r="E29" s="70">
        <v>20</v>
      </c>
      <c r="F29" s="70">
        <v>6281</v>
      </c>
      <c r="G29" s="70">
        <f t="shared" si="10"/>
        <v>628100</v>
      </c>
      <c r="H29" s="70" t="s">
        <v>240</v>
      </c>
      <c r="I29" s="70">
        <v>314</v>
      </c>
      <c r="J29" s="70">
        <f t="shared" si="11"/>
        <v>31400</v>
      </c>
      <c r="K29" s="70" t="s">
        <v>241</v>
      </c>
      <c r="L29" s="143">
        <v>0.1</v>
      </c>
      <c r="M29" s="70" t="s">
        <v>350</v>
      </c>
      <c r="N29" s="143">
        <v>0.09</v>
      </c>
      <c r="O29" s="143">
        <f t="shared" si="0"/>
        <v>0.1</v>
      </c>
      <c r="P29" s="143">
        <f t="shared" si="12"/>
        <v>0.9</v>
      </c>
      <c r="Q29" s="144">
        <f>O29*G29*$Q$8</f>
        <v>31405</v>
      </c>
      <c r="R29" s="145">
        <f>Q29</f>
        <v>31405</v>
      </c>
      <c r="S29" s="144">
        <f>V29</f>
        <v>282645</v>
      </c>
      <c r="T29" s="146"/>
      <c r="U29" s="146"/>
      <c r="V29" s="146">
        <f t="shared" si="15"/>
        <v>282645</v>
      </c>
      <c r="W29" s="146"/>
      <c r="X29" s="145"/>
      <c r="Y29" s="147"/>
      <c r="Z29" s="147"/>
      <c r="AA29" s="147">
        <f t="shared" si="16"/>
        <v>31400</v>
      </c>
      <c r="AB29" s="147"/>
      <c r="AC29" s="147"/>
      <c r="AE29" s="156">
        <f t="shared" si="7"/>
        <v>628100</v>
      </c>
      <c r="AF29" s="156">
        <f t="shared" si="8"/>
        <v>0</v>
      </c>
      <c r="AG29" s="156">
        <f t="shared" si="13"/>
        <v>31400</v>
      </c>
      <c r="AH29" s="156">
        <f t="shared" si="9"/>
        <v>0</v>
      </c>
    </row>
    <row r="30" spans="1:34" s="70" customFormat="1" ht="14.65" thickBot="1" x14ac:dyDescent="0.5">
      <c r="A30" s="70" t="s">
        <v>299</v>
      </c>
      <c r="C30" s="70" t="s">
        <v>100</v>
      </c>
      <c r="D30" s="69" t="s">
        <v>137</v>
      </c>
      <c r="E30" s="70">
        <v>50</v>
      </c>
      <c r="F30" s="70">
        <v>5682</v>
      </c>
      <c r="G30" s="70">
        <f t="shared" si="10"/>
        <v>568200</v>
      </c>
      <c r="H30" s="70" t="s">
        <v>240</v>
      </c>
      <c r="I30" s="70">
        <v>106</v>
      </c>
      <c r="J30" s="70">
        <f t="shared" si="11"/>
        <v>10600</v>
      </c>
      <c r="K30" s="70" t="s">
        <v>241</v>
      </c>
      <c r="L30" s="143">
        <v>0.05</v>
      </c>
      <c r="M30" s="70" t="s">
        <v>346</v>
      </c>
      <c r="N30" s="143">
        <v>0.25</v>
      </c>
      <c r="O30" s="143">
        <f>L30</f>
        <v>0.05</v>
      </c>
      <c r="P30" s="143">
        <f t="shared" si="12"/>
        <v>0.95</v>
      </c>
      <c r="Q30" s="144">
        <f>O30*G30*$Q$8</f>
        <v>14205</v>
      </c>
      <c r="R30" s="149">
        <f>Q30</f>
        <v>14205</v>
      </c>
      <c r="S30" s="148">
        <f>V30</f>
        <v>269895</v>
      </c>
      <c r="T30" s="150"/>
      <c r="U30" s="150"/>
      <c r="V30" s="146">
        <f t="shared" si="15"/>
        <v>269895</v>
      </c>
      <c r="W30" s="150"/>
      <c r="X30" s="149"/>
      <c r="Y30" s="147"/>
      <c r="Z30" s="147"/>
      <c r="AA30" s="147">
        <f t="shared" si="16"/>
        <v>10600</v>
      </c>
      <c r="AB30" s="147"/>
      <c r="AC30" s="147"/>
      <c r="AE30" s="156">
        <f t="shared" si="7"/>
        <v>568200</v>
      </c>
      <c r="AF30" s="156">
        <f t="shared" si="8"/>
        <v>0</v>
      </c>
      <c r="AG30" s="156">
        <f t="shared" si="13"/>
        <v>10600</v>
      </c>
      <c r="AH30" s="156">
        <f t="shared" si="9"/>
        <v>0</v>
      </c>
    </row>
    <row r="32" spans="1:34" s="142" customFormat="1" x14ac:dyDescent="0.45">
      <c r="D32" s="70"/>
      <c r="Q32" s="154">
        <f>SUM(Q11:Q30)</f>
        <v>1491551.65</v>
      </c>
      <c r="R32" s="154">
        <f t="shared" ref="R32:AC32" si="17">SUM(R11:R30)</f>
        <v>1491551.65</v>
      </c>
      <c r="S32" s="154">
        <f t="shared" si="17"/>
        <v>4533071.4000000004</v>
      </c>
      <c r="T32" s="154">
        <f t="shared" si="17"/>
        <v>14302476.6</v>
      </c>
      <c r="U32" s="154">
        <f t="shared" si="17"/>
        <v>10726857.449999999</v>
      </c>
      <c r="V32" s="154">
        <f t="shared" si="17"/>
        <v>957452.25</v>
      </c>
      <c r="W32" s="154">
        <f t="shared" si="17"/>
        <v>151225</v>
      </c>
      <c r="X32" s="154">
        <f t="shared" si="17"/>
        <v>458925</v>
      </c>
      <c r="Y32" s="154">
        <f t="shared" si="17"/>
        <v>166875</v>
      </c>
      <c r="Z32" s="154">
        <f t="shared" si="17"/>
        <v>500625</v>
      </c>
      <c r="AA32" s="154">
        <f t="shared" si="17"/>
        <v>741760</v>
      </c>
      <c r="AB32" s="154">
        <f t="shared" si="17"/>
        <v>21534.5</v>
      </c>
      <c r="AC32" s="154">
        <f t="shared" si="17"/>
        <v>26784.5</v>
      </c>
    </row>
    <row r="33" spans="3:4" s="142" customFormat="1" x14ac:dyDescent="0.45">
      <c r="D33" s="70"/>
    </row>
    <row r="34" spans="3:4" s="142" customFormat="1" x14ac:dyDescent="0.45">
      <c r="D34" s="70"/>
    </row>
    <row r="35" spans="3:4" s="142" customFormat="1" x14ac:dyDescent="0.45">
      <c r="D35" s="70"/>
    </row>
    <row r="36" spans="3:4" s="142" customFormat="1" x14ac:dyDescent="0.45">
      <c r="D36" s="70"/>
    </row>
    <row r="37" spans="3:4" s="142" customFormat="1" x14ac:dyDescent="0.45">
      <c r="D37" s="70"/>
    </row>
    <row r="38" spans="3:4" s="142" customFormat="1" x14ac:dyDescent="0.45">
      <c r="D38" s="70"/>
    </row>
    <row r="39" spans="3:4" x14ac:dyDescent="0.45">
      <c r="C39" s="23" t="s">
        <v>300</v>
      </c>
      <c r="D39" s="68">
        <f>D1</f>
        <v>0.25</v>
      </c>
    </row>
    <row r="40" spans="3:4" x14ac:dyDescent="0.45">
      <c r="C40" s="23" t="s">
        <v>301</v>
      </c>
      <c r="D40" s="68">
        <f>D2</f>
        <v>0.75</v>
      </c>
    </row>
  </sheetData>
  <sortState ref="B5:Y24">
    <sortCondition ref="D5:D24"/>
  </sortState>
  <mergeCells count="14">
    <mergeCell ref="K9:K10"/>
    <mergeCell ref="I9:I10"/>
    <mergeCell ref="B5:AC5"/>
    <mergeCell ref="Q9:Q10"/>
    <mergeCell ref="Q6:X6"/>
    <mergeCell ref="Y6:AC6"/>
    <mergeCell ref="O9:O10"/>
    <mergeCell ref="P9:P10"/>
    <mergeCell ref="H9:H10"/>
    <mergeCell ref="F9:F10"/>
    <mergeCell ref="E9:E10"/>
    <mergeCell ref="D9:D10"/>
    <mergeCell ref="C9:C10"/>
    <mergeCell ref="N9:N10"/>
  </mergeCells>
  <printOptions gridLines="1"/>
  <pageMargins left="0.7" right="0.7" top="0.75" bottom="0.75" header="0.3" footer="0.3"/>
  <pageSetup scale="76"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D7" sqref="D7"/>
    </sheetView>
  </sheetViews>
  <sheetFormatPr defaultColWidth="42.3984375" defaultRowHeight="14.25" x14ac:dyDescent="0.45"/>
  <cols>
    <col min="1" max="1" width="6" bestFit="1" customWidth="1"/>
    <col min="2" max="2" width="40.73046875" bestFit="1" customWidth="1"/>
  </cols>
  <sheetData>
    <row r="1" spans="1:2" ht="28.5" x14ac:dyDescent="0.45">
      <c r="A1" s="70" t="s">
        <v>100</v>
      </c>
      <c r="B1" s="69" t="s">
        <v>251</v>
      </c>
    </row>
    <row r="2" spans="1:2" x14ac:dyDescent="0.45">
      <c r="A2" s="70" t="s">
        <v>100</v>
      </c>
      <c r="B2" s="69" t="s">
        <v>107</v>
      </c>
    </row>
    <row r="3" spans="1:2" x14ac:dyDescent="0.45">
      <c r="A3" s="70" t="s">
        <v>100</v>
      </c>
      <c r="B3" s="69" t="s">
        <v>244</v>
      </c>
    </row>
    <row r="4" spans="1:2" ht="28.5" x14ac:dyDescent="0.45">
      <c r="A4" s="70" t="s">
        <v>100</v>
      </c>
      <c r="B4" s="69" t="s">
        <v>117</v>
      </c>
    </row>
    <row r="5" spans="1:2" x14ac:dyDescent="0.45">
      <c r="A5" s="70" t="s">
        <v>100</v>
      </c>
      <c r="B5" s="69" t="s">
        <v>119</v>
      </c>
    </row>
    <row r="6" spans="1:2" x14ac:dyDescent="0.45">
      <c r="A6" s="70" t="s">
        <v>100</v>
      </c>
      <c r="B6" s="69" t="s">
        <v>236</v>
      </c>
    </row>
    <row r="7" spans="1:2" ht="28.5" x14ac:dyDescent="0.45">
      <c r="A7" s="70" t="s">
        <v>100</v>
      </c>
      <c r="B7" s="69" t="s">
        <v>245</v>
      </c>
    </row>
    <row r="8" spans="1:2" ht="28.5" x14ac:dyDescent="0.45">
      <c r="A8" s="70" t="s">
        <v>100</v>
      </c>
      <c r="B8" s="69" t="s">
        <v>250</v>
      </c>
    </row>
    <row r="9" spans="1:2" x14ac:dyDescent="0.45">
      <c r="A9" s="70" t="s">
        <v>100</v>
      </c>
      <c r="B9" s="69" t="s">
        <v>256</v>
      </c>
    </row>
    <row r="10" spans="1:2" x14ac:dyDescent="0.45">
      <c r="A10" s="70" t="s">
        <v>100</v>
      </c>
      <c r="B10" s="69" t="s">
        <v>124</v>
      </c>
    </row>
    <row r="11" spans="1:2" x14ac:dyDescent="0.45">
      <c r="A11" s="70" t="s">
        <v>100</v>
      </c>
      <c r="B11" s="69" t="s">
        <v>126</v>
      </c>
    </row>
    <row r="12" spans="1:2" x14ac:dyDescent="0.45">
      <c r="A12" s="70" t="s">
        <v>100</v>
      </c>
      <c r="B12" s="69" t="s">
        <v>238</v>
      </c>
    </row>
    <row r="13" spans="1:2" ht="28.5" x14ac:dyDescent="0.45">
      <c r="A13" s="70" t="s">
        <v>100</v>
      </c>
      <c r="B13" s="69" t="s">
        <v>243</v>
      </c>
    </row>
    <row r="14" spans="1:2" ht="28.5" x14ac:dyDescent="0.45">
      <c r="A14" s="70" t="s">
        <v>100</v>
      </c>
      <c r="B14" s="69" t="s">
        <v>242</v>
      </c>
    </row>
    <row r="15" spans="1:2" x14ac:dyDescent="0.45">
      <c r="A15" s="70" t="s">
        <v>100</v>
      </c>
      <c r="B15" s="69" t="s">
        <v>129</v>
      </c>
    </row>
    <row r="16" spans="1:2" x14ac:dyDescent="0.45">
      <c r="A16" s="70" t="s">
        <v>100</v>
      </c>
      <c r="B16" s="69" t="s">
        <v>131</v>
      </c>
    </row>
    <row r="17" spans="1:2" x14ac:dyDescent="0.45">
      <c r="A17" s="70" t="s">
        <v>100</v>
      </c>
      <c r="B17" s="69" t="s">
        <v>134</v>
      </c>
    </row>
    <row r="18" spans="1:2" ht="28.5" x14ac:dyDescent="0.45">
      <c r="A18" s="70" t="s">
        <v>100</v>
      </c>
      <c r="B18" s="69" t="s">
        <v>247</v>
      </c>
    </row>
    <row r="19" spans="1:2" ht="28.5" x14ac:dyDescent="0.45">
      <c r="A19" s="70" t="s">
        <v>100</v>
      </c>
      <c r="B19" s="69" t="s">
        <v>249</v>
      </c>
    </row>
    <row r="20" spans="1:2" x14ac:dyDescent="0.45">
      <c r="A20" s="70" t="s">
        <v>100</v>
      </c>
      <c r="B20" s="69"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pane xSplit="2" ySplit="2" topLeftCell="G3" activePane="bottomRight" state="frozen"/>
      <selection activeCell="D7" sqref="D7"/>
      <selection pane="topRight" activeCell="D7" sqref="D7"/>
      <selection pane="bottomLeft" activeCell="D7" sqref="D7"/>
      <selection pane="bottomRight" activeCell="D7" sqref="D7"/>
    </sheetView>
  </sheetViews>
  <sheetFormatPr defaultColWidth="35.73046875" defaultRowHeight="14.25" x14ac:dyDescent="0.45"/>
  <cols>
    <col min="2" max="2" width="5" bestFit="1" customWidth="1"/>
    <col min="5" max="5" width="22.86328125" bestFit="1" customWidth="1"/>
    <col min="7" max="7" width="17.59765625" customWidth="1"/>
  </cols>
  <sheetData>
    <row r="1" spans="1:8" x14ac:dyDescent="0.45">
      <c r="C1" s="268" t="s">
        <v>337</v>
      </c>
      <c r="D1" s="268"/>
      <c r="E1" s="268" t="s">
        <v>332</v>
      </c>
      <c r="F1" s="268"/>
      <c r="G1" s="268" t="s">
        <v>333</v>
      </c>
      <c r="H1" s="268"/>
    </row>
    <row r="2" spans="1:8" x14ac:dyDescent="0.45">
      <c r="C2" s="26" t="s">
        <v>294</v>
      </c>
      <c r="D2" s="26" t="s">
        <v>254</v>
      </c>
      <c r="E2" s="26" t="s">
        <v>294</v>
      </c>
      <c r="F2" s="26" t="s">
        <v>254</v>
      </c>
      <c r="G2" s="26" t="s">
        <v>294</v>
      </c>
      <c r="H2" s="26" t="s">
        <v>254</v>
      </c>
    </row>
    <row r="3" spans="1:8" x14ac:dyDescent="0.45">
      <c r="A3" s="50" t="s">
        <v>282</v>
      </c>
      <c r="B3" s="48">
        <v>3375</v>
      </c>
      <c r="C3" s="2">
        <f>'Shen Urban WIP by Industries'!D19</f>
        <v>354382.66214999999</v>
      </c>
      <c r="E3" s="2">
        <v>210319.33005000002</v>
      </c>
      <c r="G3" s="2">
        <v>355577.53365</v>
      </c>
    </row>
    <row r="4" spans="1:8" x14ac:dyDescent="0.45">
      <c r="A4" s="51" t="s">
        <v>283</v>
      </c>
      <c r="B4" s="49">
        <v>3369</v>
      </c>
      <c r="C4" s="2">
        <f>'Shen Urban WIP by Industries'!E19</f>
        <v>354382.66214999999</v>
      </c>
      <c r="E4" s="2">
        <v>210319.33005000002</v>
      </c>
      <c r="G4" s="2">
        <v>355577.53365</v>
      </c>
    </row>
    <row r="5" spans="1:8" x14ac:dyDescent="0.45">
      <c r="A5" s="50" t="s">
        <v>335</v>
      </c>
      <c r="B5" s="48">
        <v>3034</v>
      </c>
      <c r="C5" s="2">
        <f>'Shen Urban WIP by Industries'!F19</f>
        <v>865428.07918749994</v>
      </c>
      <c r="E5" s="2">
        <v>598826.17385000002</v>
      </c>
      <c r="G5" s="2">
        <v>1009622.0401750002</v>
      </c>
    </row>
    <row r="6" spans="1:8" x14ac:dyDescent="0.45">
      <c r="A6" s="59" t="s">
        <v>336</v>
      </c>
      <c r="B6" s="58">
        <v>3323</v>
      </c>
      <c r="C6" s="2">
        <f>'Shen Urban WIP by Industries'!F19</f>
        <v>865428.07918749994</v>
      </c>
      <c r="E6" s="2">
        <v>1663080.2236000001</v>
      </c>
      <c r="G6" s="2">
        <v>2815411.3773000003</v>
      </c>
    </row>
    <row r="7" spans="1:8" x14ac:dyDescent="0.45">
      <c r="A7" s="59" t="s">
        <v>288</v>
      </c>
      <c r="B7" s="58">
        <v>3037</v>
      </c>
      <c r="C7" s="2">
        <f>'Shen Urban WIP by Industries'!G19</f>
        <v>2993685.5699499999</v>
      </c>
      <c r="E7" s="2">
        <v>1247310.1677000001</v>
      </c>
      <c r="G7" s="2">
        <v>2111558.5329749999</v>
      </c>
    </row>
    <row r="8" spans="1:8" x14ac:dyDescent="0.45">
      <c r="A8" s="59" t="s">
        <v>287</v>
      </c>
      <c r="B8" s="58">
        <v>6</v>
      </c>
      <c r="C8" s="2">
        <f>'Shen Urban WIP by Industries'!H19</f>
        <v>2590378.6774874995</v>
      </c>
      <c r="E8" s="2">
        <v>183056.11794999999</v>
      </c>
      <c r="G8" s="2">
        <v>305769.19585000002</v>
      </c>
    </row>
    <row r="9" spans="1:8" x14ac:dyDescent="0.45">
      <c r="A9" s="59" t="s">
        <v>289</v>
      </c>
      <c r="B9" s="58">
        <v>365</v>
      </c>
      <c r="C9" s="2">
        <f>'Shen Urban WIP by Industries'!I19</f>
        <v>117006.68670000001</v>
      </c>
      <c r="E9" s="2">
        <v>213065.22374999989</v>
      </c>
      <c r="G9" s="2">
        <v>0</v>
      </c>
    </row>
    <row r="10" spans="1:8" x14ac:dyDescent="0.45">
      <c r="A10" s="51" t="s">
        <v>291</v>
      </c>
      <c r="B10" s="49">
        <v>432</v>
      </c>
      <c r="C10" s="2">
        <f>'Shen Urban WIP by Industries'!K19</f>
        <v>827630.31500000006</v>
      </c>
      <c r="E10" s="2">
        <v>743294.55125000014</v>
      </c>
      <c r="G10" s="2">
        <v>213859.64</v>
      </c>
    </row>
    <row r="11" spans="1:8" x14ac:dyDescent="0.45">
      <c r="A11" s="50" t="s">
        <v>284</v>
      </c>
      <c r="B11" s="48">
        <v>3388</v>
      </c>
    </row>
    <row r="12" spans="1:8" x14ac:dyDescent="0.45">
      <c r="A12" s="59" t="s">
        <v>285</v>
      </c>
      <c r="B12" s="58">
        <v>3040</v>
      </c>
    </row>
    <row r="13" spans="1:8" ht="28.5" x14ac:dyDescent="0.45">
      <c r="A13" s="59" t="s">
        <v>286</v>
      </c>
      <c r="B13" s="58">
        <v>3039</v>
      </c>
    </row>
    <row r="14" spans="1:8" x14ac:dyDescent="0.45">
      <c r="A14" s="51" t="s">
        <v>290</v>
      </c>
      <c r="B14" s="49">
        <v>417</v>
      </c>
    </row>
  </sheetData>
  <mergeCells count="3">
    <mergeCell ref="C1:D1"/>
    <mergeCell ref="E1:F1"/>
    <mergeCell ref="G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opLeftCell="A5" workbookViewId="0">
      <selection sqref="A1:D1"/>
    </sheetView>
  </sheetViews>
  <sheetFormatPr defaultColWidth="12.1328125" defaultRowHeight="14.25" x14ac:dyDescent="0.45"/>
  <cols>
    <col min="1" max="1" width="6.59765625" bestFit="1" customWidth="1"/>
    <col min="2" max="2" width="39.86328125" customWidth="1"/>
    <col min="3" max="3" width="22.1328125" customWidth="1"/>
    <col min="7" max="8" width="12.73046875" bestFit="1" customWidth="1"/>
    <col min="9" max="9" width="10.1328125" bestFit="1" customWidth="1"/>
  </cols>
  <sheetData>
    <row r="1" spans="1:15" ht="14.65" thickBot="1" x14ac:dyDescent="0.5">
      <c r="A1" s="274" t="s">
        <v>340</v>
      </c>
      <c r="B1" s="274"/>
      <c r="C1" s="274"/>
      <c r="D1" s="274"/>
      <c r="E1" s="274"/>
      <c r="F1" s="274"/>
      <c r="G1" s="274"/>
      <c r="H1" s="274"/>
      <c r="I1" s="274"/>
      <c r="J1" s="274"/>
      <c r="K1" s="274"/>
    </row>
    <row r="2" spans="1:15" ht="14.65" hidden="1" thickBot="1" x14ac:dyDescent="0.5">
      <c r="A2" s="286" t="s">
        <v>260</v>
      </c>
      <c r="B2" s="286"/>
      <c r="C2" s="286"/>
      <c r="D2" s="286"/>
      <c r="E2" s="286"/>
      <c r="F2" s="286"/>
      <c r="G2" s="286"/>
      <c r="H2" s="286"/>
      <c r="I2" s="286"/>
      <c r="J2" s="286"/>
      <c r="K2" s="286"/>
    </row>
    <row r="3" spans="1:15" hidden="1" x14ac:dyDescent="0.45">
      <c r="A3" s="26"/>
      <c r="B3" s="26"/>
      <c r="C3" s="26"/>
      <c r="D3" s="281">
        <v>0.09</v>
      </c>
      <c r="E3" s="283"/>
      <c r="F3" s="281">
        <f>1-L3-D3</f>
        <v>0.79</v>
      </c>
      <c r="G3" s="284"/>
      <c r="H3" s="284"/>
      <c r="I3" s="284"/>
      <c r="J3" s="284"/>
      <c r="K3" s="285"/>
      <c r="L3" s="281">
        <v>0.12</v>
      </c>
      <c r="M3" s="282"/>
      <c r="N3" s="282"/>
      <c r="O3" s="283"/>
    </row>
    <row r="4" spans="1:15" x14ac:dyDescent="0.45">
      <c r="A4" s="26"/>
      <c r="B4" s="26"/>
      <c r="C4" s="26"/>
      <c r="D4" s="275" t="s">
        <v>258</v>
      </c>
      <c r="E4" s="277"/>
      <c r="F4" s="275" t="s">
        <v>259</v>
      </c>
      <c r="G4" s="276"/>
      <c r="H4" s="276"/>
      <c r="I4" s="276"/>
      <c r="J4" s="276"/>
      <c r="K4" s="277"/>
      <c r="L4" s="278" t="s">
        <v>254</v>
      </c>
      <c r="M4" s="279"/>
      <c r="N4" s="279"/>
      <c r="O4" s="280"/>
    </row>
    <row r="5" spans="1:15" s="95" customFormat="1" ht="43.5" customHeight="1" x14ac:dyDescent="0.45">
      <c r="A5" s="23"/>
      <c r="B5" s="23"/>
      <c r="C5" s="23"/>
      <c r="D5" s="116" t="s">
        <v>282</v>
      </c>
      <c r="E5" s="117" t="s">
        <v>283</v>
      </c>
      <c r="F5" s="116" t="s">
        <v>335</v>
      </c>
      <c r="G5" s="118" t="s">
        <v>336</v>
      </c>
      <c r="H5" s="118" t="s">
        <v>288</v>
      </c>
      <c r="I5" s="118" t="s">
        <v>287</v>
      </c>
      <c r="J5" s="118" t="s">
        <v>289</v>
      </c>
      <c r="K5" s="117" t="s">
        <v>291</v>
      </c>
      <c r="L5" s="92" t="s">
        <v>284</v>
      </c>
      <c r="M5" s="94" t="s">
        <v>285</v>
      </c>
      <c r="N5" s="94" t="s">
        <v>286</v>
      </c>
      <c r="O5" s="93" t="s">
        <v>290</v>
      </c>
    </row>
    <row r="6" spans="1:15" ht="14.65" thickBot="1" x14ac:dyDescent="0.5">
      <c r="A6" s="119" t="s">
        <v>0</v>
      </c>
      <c r="B6" s="119" t="s">
        <v>225</v>
      </c>
      <c r="C6" s="119" t="s">
        <v>339</v>
      </c>
      <c r="D6" s="120">
        <v>3375</v>
      </c>
      <c r="E6" s="121">
        <v>3369</v>
      </c>
      <c r="F6" s="120">
        <v>3034</v>
      </c>
      <c r="G6" s="122">
        <v>3323</v>
      </c>
      <c r="H6" s="122">
        <v>3037</v>
      </c>
      <c r="I6" s="122">
        <v>6</v>
      </c>
      <c r="J6" s="122">
        <v>365</v>
      </c>
      <c r="K6" s="121">
        <v>432</v>
      </c>
      <c r="L6" s="48">
        <v>3388</v>
      </c>
      <c r="M6" s="58">
        <v>3040</v>
      </c>
      <c r="N6" s="58">
        <v>3039</v>
      </c>
      <c r="O6" s="49">
        <v>417</v>
      </c>
    </row>
    <row r="7" spans="1:15" hidden="1" x14ac:dyDescent="0.45">
      <c r="A7" s="24"/>
      <c r="B7" s="24"/>
      <c r="C7" s="24"/>
      <c r="D7" s="52">
        <v>0.5</v>
      </c>
      <c r="E7" s="53">
        <v>0.5</v>
      </c>
      <c r="F7" s="52">
        <f>0.25*G7</f>
        <v>0.125</v>
      </c>
      <c r="G7" s="91">
        <v>0.5</v>
      </c>
      <c r="H7" s="91">
        <f>G7-F7</f>
        <v>0.375</v>
      </c>
      <c r="I7" s="90"/>
      <c r="J7" s="90"/>
      <c r="K7" s="89"/>
      <c r="L7" s="48"/>
      <c r="M7" s="58"/>
      <c r="N7" s="58"/>
      <c r="O7" s="49"/>
    </row>
    <row r="8" spans="1:15" s="112" customFormat="1" x14ac:dyDescent="0.45">
      <c r="A8" s="102" t="s">
        <v>100</v>
      </c>
      <c r="B8" s="103" t="s">
        <v>199</v>
      </c>
      <c r="C8" s="104">
        <v>7051760.1599999992</v>
      </c>
      <c r="D8" s="105">
        <f>$D$3*$D$7*C8</f>
        <v>317329.20719999995</v>
      </c>
      <c r="E8" s="106">
        <f>$D$3*$E$7*C8</f>
        <v>317329.20719999995</v>
      </c>
      <c r="F8" s="105">
        <f>$F$7*$F$3*C8</f>
        <v>696361.31579999998</v>
      </c>
      <c r="G8" s="107">
        <f>$F$3*$G$7*C8</f>
        <v>2785445.2631999999</v>
      </c>
      <c r="H8" s="107">
        <f t="shared" ref="H8:H13" si="0">C8*$F$3*$H$7</f>
        <v>2089083.9473999999</v>
      </c>
      <c r="I8" s="76"/>
      <c r="J8" s="76"/>
      <c r="K8" s="108"/>
      <c r="L8" s="109"/>
      <c r="M8" s="110"/>
      <c r="N8" s="110"/>
      <c r="O8" s="111"/>
    </row>
    <row r="9" spans="1:15" s="112" customFormat="1" ht="28.5" x14ac:dyDescent="0.45">
      <c r="A9" s="102" t="s">
        <v>100</v>
      </c>
      <c r="B9" s="103" t="s">
        <v>117</v>
      </c>
      <c r="C9" s="104">
        <v>427163.98</v>
      </c>
      <c r="D9" s="105">
        <f>$D$3*$D$7*C9</f>
        <v>19222.379099999998</v>
      </c>
      <c r="E9" s="106">
        <f>$D$3*$E$7*C9</f>
        <v>19222.379099999998</v>
      </c>
      <c r="F9" s="105">
        <f>$F$7*$F$3*C9</f>
        <v>42182.443025</v>
      </c>
      <c r="G9" s="107">
        <f>$F$3*$G$7*C9</f>
        <v>168729.7721</v>
      </c>
      <c r="H9" s="107">
        <f t="shared" si="0"/>
        <v>126547.329075</v>
      </c>
      <c r="I9" s="76"/>
      <c r="J9" s="76"/>
      <c r="K9" s="108"/>
      <c r="L9" s="109"/>
      <c r="M9" s="110"/>
      <c r="N9" s="110"/>
      <c r="O9" s="111"/>
    </row>
    <row r="10" spans="1:15" s="112" customFormat="1" x14ac:dyDescent="0.45">
      <c r="A10" s="102" t="s">
        <v>100</v>
      </c>
      <c r="B10" s="113" t="s">
        <v>119</v>
      </c>
      <c r="C10" s="104">
        <v>79880.540000000008</v>
      </c>
      <c r="D10" s="105">
        <f>$D$3*$D$7*C10</f>
        <v>3594.6243000000004</v>
      </c>
      <c r="E10" s="106">
        <f>$D$3*$E$7*C10</f>
        <v>3594.6243000000004</v>
      </c>
      <c r="F10" s="105">
        <f>$F$7*$F$3*C10</f>
        <v>7888.2033250000013</v>
      </c>
      <c r="G10" s="107">
        <f>$F$3*$G$7*C10</f>
        <v>31552.813300000005</v>
      </c>
      <c r="H10" s="107">
        <f t="shared" si="0"/>
        <v>23664.609975000003</v>
      </c>
      <c r="I10" s="76"/>
      <c r="J10" s="76"/>
      <c r="K10" s="108"/>
      <c r="L10" s="109"/>
      <c r="M10" s="110"/>
      <c r="N10" s="110"/>
      <c r="O10" s="111"/>
    </row>
    <row r="11" spans="1:15" s="112" customFormat="1" x14ac:dyDescent="0.45">
      <c r="A11" s="102" t="s">
        <v>100</v>
      </c>
      <c r="B11" s="103" t="s">
        <v>124</v>
      </c>
      <c r="C11" s="104">
        <v>20146.13</v>
      </c>
      <c r="D11" s="105">
        <f>$D$3*$D$7*C11</f>
        <v>906.57585000000006</v>
      </c>
      <c r="E11" s="106">
        <f>$D$3*$E$7*C11</f>
        <v>906.57585000000006</v>
      </c>
      <c r="F11" s="105">
        <f>$F$7*$F$3*C11</f>
        <v>1989.4303375000002</v>
      </c>
      <c r="G11" s="107">
        <f>$F$3*$G$7*C11</f>
        <v>7957.7213500000007</v>
      </c>
      <c r="H11" s="107">
        <f t="shared" si="0"/>
        <v>5968.2910125000008</v>
      </c>
      <c r="I11" s="76"/>
      <c r="J11" s="76"/>
      <c r="K11" s="108"/>
      <c r="L11" s="109"/>
      <c r="M11" s="110"/>
      <c r="N11" s="110"/>
      <c r="O11" s="111"/>
    </row>
    <row r="12" spans="1:15" s="112" customFormat="1" x14ac:dyDescent="0.45">
      <c r="A12" s="102" t="s">
        <v>100</v>
      </c>
      <c r="B12" s="103" t="s">
        <v>214</v>
      </c>
      <c r="C12" s="104">
        <v>1037886.6</v>
      </c>
      <c r="D12" s="105"/>
      <c r="E12" s="106"/>
      <c r="F12" s="105"/>
      <c r="G12" s="76"/>
      <c r="H12" s="107">
        <f t="shared" si="0"/>
        <v>307473.90525000001</v>
      </c>
      <c r="I12" s="76"/>
      <c r="J12" s="107">
        <f>C12-K12-O12</f>
        <v>233524.4849999999</v>
      </c>
      <c r="K12" s="106">
        <f>0.9*0.75*C12</f>
        <v>700573.45500000007</v>
      </c>
      <c r="L12" s="109"/>
      <c r="M12" s="110"/>
      <c r="N12" s="110"/>
      <c r="O12" s="114">
        <f>0.1*C12</f>
        <v>103788.66</v>
      </c>
    </row>
    <row r="13" spans="1:15" s="112" customFormat="1" x14ac:dyDescent="0.45">
      <c r="A13" s="102" t="s">
        <v>100</v>
      </c>
      <c r="B13" s="113" t="s">
        <v>129</v>
      </c>
      <c r="C13" s="104">
        <v>127056.86</v>
      </c>
      <c r="D13" s="105"/>
      <c r="E13" s="106"/>
      <c r="F13" s="105"/>
      <c r="G13" s="76"/>
      <c r="H13" s="107">
        <f t="shared" si="0"/>
        <v>37640.594774999998</v>
      </c>
      <c r="I13" s="76"/>
      <c r="J13" s="76"/>
      <c r="K13" s="115">
        <f>C13</f>
        <v>127056.86</v>
      </c>
      <c r="L13" s="109"/>
      <c r="M13" s="110"/>
      <c r="N13" s="110"/>
      <c r="O13" s="111"/>
    </row>
    <row r="14" spans="1:15" s="112" customFormat="1" x14ac:dyDescent="0.45">
      <c r="A14" s="102" t="s">
        <v>100</v>
      </c>
      <c r="B14" s="103" t="s">
        <v>126</v>
      </c>
      <c r="C14" s="104">
        <v>68465.06</v>
      </c>
      <c r="D14" s="105">
        <f>$D$3*$D$7*C14</f>
        <v>3080.9276999999997</v>
      </c>
      <c r="E14" s="106">
        <f>$D$3*$E$7*C14</f>
        <v>3080.9276999999997</v>
      </c>
      <c r="F14" s="105">
        <f>I14</f>
        <v>27043.698700000001</v>
      </c>
      <c r="G14" s="76"/>
      <c r="H14" s="107"/>
      <c r="I14" s="107">
        <f>C14*$F$3*$G$7</f>
        <v>27043.698700000001</v>
      </c>
      <c r="J14" s="76"/>
      <c r="K14" s="108"/>
      <c r="L14" s="109"/>
      <c r="M14" s="110"/>
      <c r="N14" s="110"/>
      <c r="O14" s="111"/>
    </row>
    <row r="15" spans="1:15" s="112" customFormat="1" x14ac:dyDescent="0.45">
      <c r="A15" s="102" t="s">
        <v>100</v>
      </c>
      <c r="B15" s="103" t="s">
        <v>131</v>
      </c>
      <c r="C15" s="104">
        <v>12080.060000000001</v>
      </c>
      <c r="D15" s="105">
        <f>$D$3*$D$7*C15</f>
        <v>543.60270000000003</v>
      </c>
      <c r="E15" s="106">
        <f>$D$3*$E$7*C15</f>
        <v>543.60270000000003</v>
      </c>
      <c r="F15" s="105">
        <f t="shared" ref="F15:F17" si="1">I15</f>
        <v>4771.623700000001</v>
      </c>
      <c r="G15" s="76"/>
      <c r="H15" s="107"/>
      <c r="I15" s="107">
        <f>C15*$F$3*$G$7</f>
        <v>4771.623700000001</v>
      </c>
      <c r="J15" s="76"/>
      <c r="K15" s="108"/>
      <c r="L15" s="109"/>
      <c r="M15" s="110"/>
      <c r="N15" s="110"/>
      <c r="O15" s="111"/>
    </row>
    <row r="16" spans="1:15" s="112" customFormat="1" x14ac:dyDescent="0.45">
      <c r="A16" s="102" t="s">
        <v>100</v>
      </c>
      <c r="B16" s="103" t="s">
        <v>219</v>
      </c>
      <c r="C16" s="104">
        <v>47129.2</v>
      </c>
      <c r="D16" s="105">
        <f>$D$3*$D$7*C16</f>
        <v>2120.8139999999999</v>
      </c>
      <c r="E16" s="106">
        <f>$D$3*$E$7*C16</f>
        <v>2120.8139999999999</v>
      </c>
      <c r="F16" s="105">
        <f t="shared" si="1"/>
        <v>18616.034</v>
      </c>
      <c r="G16" s="76"/>
      <c r="H16" s="107"/>
      <c r="I16" s="107">
        <f>C16*$F$3*$G$7</f>
        <v>18616.034</v>
      </c>
      <c r="J16" s="76"/>
      <c r="K16" s="108"/>
      <c r="L16" s="109"/>
      <c r="M16" s="110"/>
      <c r="N16" s="110"/>
      <c r="O16" s="111"/>
    </row>
    <row r="17" spans="1:15" s="112" customFormat="1" x14ac:dyDescent="0.45">
      <c r="A17" s="102" t="s">
        <v>100</v>
      </c>
      <c r="B17" s="103" t="s">
        <v>137</v>
      </c>
      <c r="C17" s="104">
        <v>168545.14</v>
      </c>
      <c r="D17" s="105">
        <f>$D$3*$D$7*C17</f>
        <v>7584.5313000000006</v>
      </c>
      <c r="E17" s="106">
        <f>$D$3*$E$7*C17</f>
        <v>7584.5313000000006</v>
      </c>
      <c r="F17" s="105">
        <f t="shared" si="1"/>
        <v>66575.330300000001</v>
      </c>
      <c r="G17" s="76"/>
      <c r="H17" s="107"/>
      <c r="I17" s="107">
        <f>C17*$F$3*$G$7</f>
        <v>66575.330300000001</v>
      </c>
      <c r="J17" s="76"/>
      <c r="K17" s="108"/>
      <c r="L17" s="109"/>
      <c r="M17" s="110"/>
      <c r="N17" s="110"/>
      <c r="O17" s="111"/>
    </row>
    <row r="18" spans="1:15" x14ac:dyDescent="0.45">
      <c r="A18" s="26"/>
      <c r="B18" s="26"/>
      <c r="C18" s="26"/>
      <c r="D18" s="88"/>
      <c r="E18" s="89"/>
      <c r="F18" s="88"/>
      <c r="G18" s="90"/>
      <c r="H18" s="90"/>
      <c r="I18" s="90"/>
      <c r="J18" s="90"/>
      <c r="K18" s="89"/>
      <c r="L18" s="48"/>
      <c r="M18" s="58"/>
      <c r="N18" s="58"/>
      <c r="O18" s="49"/>
    </row>
    <row r="19" spans="1:15" s="85" customFormat="1" ht="14.65" thickBot="1" x14ac:dyDescent="0.5">
      <c r="A19" s="123"/>
      <c r="B19" s="124" t="s">
        <v>292</v>
      </c>
      <c r="C19" s="125">
        <f>SUM(C8:C17)</f>
        <v>9040113.7299999986</v>
      </c>
      <c r="D19" s="126">
        <f t="shared" ref="D19:K19" si="2">SUM(D8:D17)</f>
        <v>354382.66214999999</v>
      </c>
      <c r="E19" s="127">
        <f t="shared" si="2"/>
        <v>354382.66214999999</v>
      </c>
      <c r="F19" s="126">
        <f t="shared" si="2"/>
        <v>865428.07918749994</v>
      </c>
      <c r="G19" s="128">
        <f t="shared" si="2"/>
        <v>2993685.5699499999</v>
      </c>
      <c r="H19" s="128">
        <f t="shared" si="2"/>
        <v>2590378.6774874995</v>
      </c>
      <c r="I19" s="128">
        <f t="shared" si="2"/>
        <v>117006.68670000001</v>
      </c>
      <c r="J19" s="128">
        <f t="shared" si="2"/>
        <v>233524.4849999999</v>
      </c>
      <c r="K19" s="127">
        <f t="shared" si="2"/>
        <v>827630.31500000006</v>
      </c>
      <c r="L19" s="98"/>
      <c r="M19" s="99"/>
      <c r="N19" s="99"/>
      <c r="O19" s="100"/>
    </row>
    <row r="20" spans="1:15" x14ac:dyDescent="0.45">
      <c r="B20" s="96" t="s">
        <v>257</v>
      </c>
      <c r="C20" s="97">
        <f>'SW v Total'!B6</f>
        <v>24974281</v>
      </c>
      <c r="D20" s="25"/>
      <c r="E20" s="25"/>
      <c r="F20" s="25"/>
      <c r="G20" s="25"/>
      <c r="H20" s="25"/>
      <c r="I20" s="25"/>
      <c r="J20" s="25"/>
      <c r="K20" s="25"/>
    </row>
  </sheetData>
  <sortState ref="A2:C17">
    <sortCondition descending="1" ref="A2:A17"/>
    <sortCondition ref="B2:B17"/>
  </sortState>
  <mergeCells count="8">
    <mergeCell ref="A1:K1"/>
    <mergeCell ref="F4:K4"/>
    <mergeCell ref="L4:O4"/>
    <mergeCell ref="L3:O3"/>
    <mergeCell ref="F3:K3"/>
    <mergeCell ref="D4:E4"/>
    <mergeCell ref="D3:E3"/>
    <mergeCell ref="A2:K2"/>
  </mergeCells>
  <printOptions gridLines="1"/>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election sqref="A1:D1"/>
    </sheetView>
  </sheetViews>
  <sheetFormatPr defaultColWidth="12.1328125" defaultRowHeight="14.25" x14ac:dyDescent="0.45"/>
  <cols>
    <col min="2" max="2" width="47.1328125" customWidth="1"/>
    <col min="3" max="3" width="22.1328125" customWidth="1"/>
    <col min="7" max="8" width="12.73046875" bestFit="1" customWidth="1"/>
  </cols>
  <sheetData>
    <row r="1" spans="1:15" x14ac:dyDescent="0.45">
      <c r="A1" s="286" t="s">
        <v>341</v>
      </c>
      <c r="B1" s="286"/>
      <c r="C1" s="286"/>
      <c r="D1" s="286"/>
      <c r="E1" s="286"/>
      <c r="F1" s="286"/>
      <c r="G1" s="286"/>
      <c r="H1" s="286"/>
      <c r="I1" s="286"/>
      <c r="J1" s="286"/>
      <c r="K1" s="286"/>
    </row>
    <row r="2" spans="1:15" hidden="1" x14ac:dyDescent="0.45">
      <c r="A2" s="286" t="s">
        <v>260</v>
      </c>
      <c r="B2" s="286"/>
      <c r="C2" s="286"/>
      <c r="D2" s="286"/>
      <c r="E2" s="286"/>
      <c r="F2" s="286"/>
      <c r="G2" s="286"/>
      <c r="H2" s="286"/>
      <c r="I2" s="286"/>
      <c r="J2" s="286"/>
      <c r="K2" s="286"/>
    </row>
    <row r="3" spans="1:15" hidden="1" x14ac:dyDescent="0.45">
      <c r="D3" s="281">
        <v>0.09</v>
      </c>
      <c r="E3" s="283"/>
      <c r="F3" s="281">
        <f>1-L3-D3</f>
        <v>0.79</v>
      </c>
      <c r="G3" s="284"/>
      <c r="H3" s="284"/>
      <c r="I3" s="284"/>
      <c r="J3" s="284"/>
      <c r="K3" s="285"/>
      <c r="L3" s="281">
        <v>0.12</v>
      </c>
      <c r="M3" s="282"/>
      <c r="N3" s="282"/>
      <c r="O3" s="283"/>
    </row>
    <row r="4" spans="1:15" ht="14.65" thickBot="1" x14ac:dyDescent="0.5">
      <c r="D4" s="278" t="s">
        <v>258</v>
      </c>
      <c r="E4" s="280"/>
      <c r="F4" s="278" t="s">
        <v>259</v>
      </c>
      <c r="G4" s="279"/>
      <c r="H4" s="279"/>
      <c r="I4" s="279"/>
      <c r="J4" s="279"/>
      <c r="K4" s="280"/>
      <c r="L4" s="278" t="s">
        <v>254</v>
      </c>
      <c r="M4" s="279"/>
      <c r="N4" s="279"/>
      <c r="O4" s="280"/>
    </row>
    <row r="5" spans="1:15" ht="43.5" customHeight="1" thickBot="1" x14ac:dyDescent="0.5">
      <c r="D5" s="129" t="s">
        <v>282</v>
      </c>
      <c r="E5" s="130" t="s">
        <v>283</v>
      </c>
      <c r="F5" s="129" t="s">
        <v>335</v>
      </c>
      <c r="G5" s="131" t="s">
        <v>336</v>
      </c>
      <c r="H5" s="131" t="s">
        <v>288</v>
      </c>
      <c r="I5" s="131" t="s">
        <v>287</v>
      </c>
      <c r="J5" s="131" t="s">
        <v>289</v>
      </c>
      <c r="K5" s="130" t="s">
        <v>291</v>
      </c>
      <c r="L5" s="50" t="s">
        <v>284</v>
      </c>
      <c r="M5" s="59" t="s">
        <v>285</v>
      </c>
      <c r="N5" s="59" t="s">
        <v>286</v>
      </c>
      <c r="O5" s="51" t="s">
        <v>290</v>
      </c>
    </row>
    <row r="6" spans="1:15" ht="14.65" thickBot="1" x14ac:dyDescent="0.5">
      <c r="A6" s="132" t="s">
        <v>0</v>
      </c>
      <c r="B6" s="133" t="s">
        <v>225</v>
      </c>
      <c r="C6" s="134" t="s">
        <v>13</v>
      </c>
      <c r="D6" s="138">
        <v>3375</v>
      </c>
      <c r="E6" s="139">
        <v>3369</v>
      </c>
      <c r="F6" s="138">
        <v>3034</v>
      </c>
      <c r="G6" s="140">
        <v>3323</v>
      </c>
      <c r="H6" s="140">
        <v>3037</v>
      </c>
      <c r="I6" s="140">
        <v>6</v>
      </c>
      <c r="J6" s="140">
        <v>365</v>
      </c>
      <c r="K6" s="139">
        <v>432</v>
      </c>
      <c r="L6" s="48">
        <v>3388</v>
      </c>
      <c r="M6" s="58">
        <v>3040</v>
      </c>
      <c r="N6" s="58">
        <v>3039</v>
      </c>
      <c r="O6" s="49">
        <v>417</v>
      </c>
    </row>
    <row r="7" spans="1:15" hidden="1" x14ac:dyDescent="0.45">
      <c r="A7" s="24"/>
      <c r="B7" s="24"/>
      <c r="C7" s="24"/>
      <c r="D7" s="52">
        <v>0.5</v>
      </c>
      <c r="E7" s="53">
        <v>0.5</v>
      </c>
      <c r="F7" s="60">
        <f>0.25*G7</f>
        <v>0.125</v>
      </c>
      <c r="G7" s="61">
        <v>0.5</v>
      </c>
      <c r="H7" s="61">
        <f>G7-F7</f>
        <v>0.375</v>
      </c>
      <c r="I7" s="58"/>
      <c r="J7" s="58"/>
      <c r="K7" s="49"/>
      <c r="L7" s="48"/>
      <c r="M7" s="58"/>
      <c r="N7" s="58"/>
      <c r="O7" s="49"/>
    </row>
    <row r="8" spans="1:15" s="112" customFormat="1" x14ac:dyDescent="0.45">
      <c r="A8" s="102" t="s">
        <v>100</v>
      </c>
      <c r="B8" s="103" t="s">
        <v>199</v>
      </c>
      <c r="C8" s="104">
        <v>0</v>
      </c>
      <c r="D8" s="135">
        <f t="shared" ref="D8:D14" si="0">$D$3*$D$7*C8</f>
        <v>0</v>
      </c>
      <c r="E8" s="114">
        <f t="shared" ref="E8:E14" si="1">$D$3*$E$7*C8</f>
        <v>0</v>
      </c>
      <c r="F8" s="135">
        <f t="shared" ref="F8:F14" si="2">$F$7*$F$3*C8</f>
        <v>0</v>
      </c>
      <c r="G8" s="136">
        <f t="shared" ref="G8:G14" si="3">$F$3*$G$7*C8</f>
        <v>0</v>
      </c>
      <c r="H8" s="136">
        <f t="shared" ref="H8:H14" si="4">C8*$F$3*$H$7</f>
        <v>0</v>
      </c>
      <c r="I8" s="110"/>
      <c r="J8" s="110"/>
      <c r="K8" s="111"/>
      <c r="L8" s="109"/>
      <c r="M8" s="110"/>
      <c r="N8" s="110"/>
      <c r="O8" s="111"/>
    </row>
    <row r="9" spans="1:15" s="112" customFormat="1" x14ac:dyDescent="0.45">
      <c r="A9" s="102" t="s">
        <v>100</v>
      </c>
      <c r="B9" s="103" t="s">
        <v>117</v>
      </c>
      <c r="C9" s="104">
        <v>548192.4</v>
      </c>
      <c r="D9" s="135">
        <f t="shared" si="0"/>
        <v>24668.657999999999</v>
      </c>
      <c r="E9" s="114">
        <f t="shared" si="1"/>
        <v>24668.657999999999</v>
      </c>
      <c r="F9" s="135">
        <f t="shared" si="2"/>
        <v>54133.999500000005</v>
      </c>
      <c r="G9" s="136">
        <f t="shared" si="3"/>
        <v>216535.99800000002</v>
      </c>
      <c r="H9" s="136">
        <f t="shared" si="4"/>
        <v>162401.99850000002</v>
      </c>
      <c r="I9" s="110"/>
      <c r="J9" s="110"/>
      <c r="K9" s="111"/>
      <c r="L9" s="109"/>
      <c r="M9" s="110"/>
      <c r="N9" s="110"/>
      <c r="O9" s="111"/>
    </row>
    <row r="10" spans="1:15" s="112" customFormat="1" x14ac:dyDescent="0.45">
      <c r="A10" s="102" t="s">
        <v>100</v>
      </c>
      <c r="B10" s="113" t="s">
        <v>119</v>
      </c>
      <c r="C10" s="104">
        <v>568995.5</v>
      </c>
      <c r="D10" s="135">
        <f t="shared" si="0"/>
        <v>25604.797500000001</v>
      </c>
      <c r="E10" s="114">
        <f t="shared" si="1"/>
        <v>25604.797500000001</v>
      </c>
      <c r="F10" s="135">
        <f t="shared" si="2"/>
        <v>56188.305625000001</v>
      </c>
      <c r="G10" s="136">
        <f t="shared" si="3"/>
        <v>224753.2225</v>
      </c>
      <c r="H10" s="136">
        <f t="shared" si="4"/>
        <v>168564.916875</v>
      </c>
      <c r="I10" s="110"/>
      <c r="J10" s="110"/>
      <c r="K10" s="111"/>
      <c r="L10" s="109"/>
      <c r="M10" s="110"/>
      <c r="N10" s="110"/>
      <c r="O10" s="111"/>
    </row>
    <row r="11" spans="1:15" s="112" customFormat="1" x14ac:dyDescent="0.45">
      <c r="A11" s="102" t="s">
        <v>100</v>
      </c>
      <c r="B11" s="103" t="s">
        <v>124</v>
      </c>
      <c r="C11" s="104"/>
      <c r="D11" s="135">
        <f t="shared" si="0"/>
        <v>0</v>
      </c>
      <c r="E11" s="114">
        <f t="shared" si="1"/>
        <v>0</v>
      </c>
      <c r="F11" s="135">
        <f t="shared" si="2"/>
        <v>0</v>
      </c>
      <c r="G11" s="136">
        <f t="shared" si="3"/>
        <v>0</v>
      </c>
      <c r="H11" s="136">
        <f t="shared" si="4"/>
        <v>0</v>
      </c>
      <c r="I11" s="110"/>
      <c r="J11" s="110"/>
      <c r="K11" s="111"/>
      <c r="L11" s="109"/>
      <c r="M11" s="110"/>
      <c r="N11" s="110"/>
      <c r="O11" s="111"/>
    </row>
    <row r="12" spans="1:15" s="112" customFormat="1" x14ac:dyDescent="0.45">
      <c r="A12" s="102"/>
      <c r="B12" s="103" t="s">
        <v>328</v>
      </c>
      <c r="C12" s="104">
        <v>3571857.22</v>
      </c>
      <c r="D12" s="135">
        <f t="shared" si="0"/>
        <v>160733.57490000001</v>
      </c>
      <c r="E12" s="114">
        <f t="shared" si="1"/>
        <v>160733.57490000001</v>
      </c>
      <c r="F12" s="135">
        <f t="shared" si="2"/>
        <v>352720.90047500003</v>
      </c>
      <c r="G12" s="136">
        <f t="shared" si="3"/>
        <v>1410883.6019000001</v>
      </c>
      <c r="H12" s="136">
        <f t="shared" si="4"/>
        <v>1058162.7014250001</v>
      </c>
      <c r="I12" s="110"/>
      <c r="J12" s="110"/>
      <c r="K12" s="111"/>
      <c r="L12" s="109"/>
      <c r="M12" s="110"/>
      <c r="N12" s="110"/>
      <c r="O12" s="111"/>
    </row>
    <row r="13" spans="1:15" s="112" customFormat="1" x14ac:dyDescent="0.45">
      <c r="A13" s="102"/>
      <c r="B13" s="103" t="s">
        <v>329</v>
      </c>
      <c r="C13" s="104">
        <v>1466145.2</v>
      </c>
      <c r="D13" s="135">
        <f t="shared" si="0"/>
        <v>65976.534</v>
      </c>
      <c r="E13" s="114">
        <f t="shared" si="1"/>
        <v>65976.534</v>
      </c>
      <c r="F13" s="135">
        <f t="shared" si="2"/>
        <v>144781.83850000001</v>
      </c>
      <c r="G13" s="136">
        <f t="shared" si="3"/>
        <v>579127.35400000005</v>
      </c>
      <c r="H13" s="136">
        <f t="shared" si="4"/>
        <v>434345.51550000004</v>
      </c>
      <c r="I13" s="110"/>
      <c r="J13" s="110"/>
      <c r="K13" s="111"/>
      <c r="L13" s="109"/>
      <c r="M13" s="110"/>
      <c r="N13" s="110"/>
      <c r="O13" s="111"/>
    </row>
    <row r="14" spans="1:15" s="112" customFormat="1" ht="28.5" x14ac:dyDescent="0.45">
      <c r="A14" s="102"/>
      <c r="B14" s="103" t="s">
        <v>330</v>
      </c>
      <c r="C14" s="104">
        <v>972433.42</v>
      </c>
      <c r="D14" s="135">
        <f t="shared" si="0"/>
        <v>43759.503900000003</v>
      </c>
      <c r="E14" s="114">
        <f t="shared" si="1"/>
        <v>43759.503900000003</v>
      </c>
      <c r="F14" s="135">
        <f t="shared" si="2"/>
        <v>96027.800225000014</v>
      </c>
      <c r="G14" s="136">
        <f t="shared" si="3"/>
        <v>384111.20090000005</v>
      </c>
      <c r="H14" s="136">
        <f t="shared" si="4"/>
        <v>288083.40067500004</v>
      </c>
      <c r="I14" s="110"/>
      <c r="J14" s="110"/>
      <c r="K14" s="111"/>
      <c r="L14" s="109"/>
      <c r="M14" s="110"/>
      <c r="N14" s="110"/>
      <c r="O14" s="111"/>
    </row>
    <row r="15" spans="1:15" s="112" customFormat="1" x14ac:dyDescent="0.45">
      <c r="A15" s="102" t="s">
        <v>100</v>
      </c>
      <c r="B15" s="103" t="s">
        <v>214</v>
      </c>
      <c r="C15" s="104"/>
      <c r="D15" s="135"/>
      <c r="E15" s="114"/>
      <c r="F15" s="135"/>
      <c r="G15" s="110"/>
      <c r="H15" s="136"/>
      <c r="I15" s="110"/>
      <c r="J15" s="136">
        <f>C15-K15-O15</f>
        <v>0</v>
      </c>
      <c r="K15" s="114">
        <f>0.9*0.75*C15</f>
        <v>0</v>
      </c>
      <c r="L15" s="109"/>
      <c r="M15" s="110"/>
      <c r="N15" s="110"/>
      <c r="O15" s="114">
        <f>0.1*C15</f>
        <v>0</v>
      </c>
    </row>
    <row r="16" spans="1:15" s="112" customFormat="1" x14ac:dyDescent="0.45">
      <c r="A16" s="102" t="s">
        <v>100</v>
      </c>
      <c r="B16" s="113" t="s">
        <v>129</v>
      </c>
      <c r="C16" s="104">
        <v>213859.64</v>
      </c>
      <c r="D16" s="135"/>
      <c r="E16" s="114"/>
      <c r="F16" s="135"/>
      <c r="G16" s="110"/>
      <c r="H16" s="136"/>
      <c r="I16" s="110"/>
      <c r="J16" s="110"/>
      <c r="K16" s="137">
        <f>C16</f>
        <v>213859.64</v>
      </c>
      <c r="L16" s="109"/>
      <c r="M16" s="110"/>
      <c r="N16" s="110"/>
      <c r="O16" s="111"/>
    </row>
    <row r="17" spans="1:15" s="112" customFormat="1" x14ac:dyDescent="0.45">
      <c r="A17" s="102" t="s">
        <v>100</v>
      </c>
      <c r="B17" s="103" t="s">
        <v>126</v>
      </c>
      <c r="C17" s="104"/>
      <c r="D17" s="135">
        <f>$D$3*$D$7*C17</f>
        <v>0</v>
      </c>
      <c r="E17" s="114">
        <f>$D$3*$E$7*C17</f>
        <v>0</v>
      </c>
      <c r="F17" s="135">
        <f>I17</f>
        <v>0</v>
      </c>
      <c r="G17" s="110"/>
      <c r="H17" s="136"/>
      <c r="I17" s="136">
        <f>C17*$F$3*$G$7</f>
        <v>0</v>
      </c>
      <c r="J17" s="110"/>
      <c r="K17" s="111"/>
      <c r="L17" s="109"/>
      <c r="M17" s="110"/>
      <c r="N17" s="110"/>
      <c r="O17" s="111"/>
    </row>
    <row r="18" spans="1:15" s="112" customFormat="1" x14ac:dyDescent="0.45">
      <c r="A18" s="102" t="s">
        <v>100</v>
      </c>
      <c r="B18" s="103" t="s">
        <v>131</v>
      </c>
      <c r="C18" s="104">
        <v>68293.679999999993</v>
      </c>
      <c r="D18" s="135">
        <f>$D$3*$D$7*C18</f>
        <v>3073.2155999999995</v>
      </c>
      <c r="E18" s="114">
        <f>$D$3*$E$7*C18</f>
        <v>3073.2155999999995</v>
      </c>
      <c r="F18" s="135">
        <f t="shared" ref="F18:F21" si="5">I18</f>
        <v>26976.0036</v>
      </c>
      <c r="G18" s="110"/>
      <c r="H18" s="136"/>
      <c r="I18" s="136">
        <f>C18*$F$3*$G$7</f>
        <v>26976.0036</v>
      </c>
      <c r="J18" s="110"/>
      <c r="K18" s="111"/>
      <c r="L18" s="109"/>
      <c r="M18" s="110"/>
      <c r="N18" s="110"/>
      <c r="O18" s="111"/>
    </row>
    <row r="19" spans="1:15" s="112" customFormat="1" x14ac:dyDescent="0.45">
      <c r="A19" s="102" t="s">
        <v>100</v>
      </c>
      <c r="B19" s="103" t="s">
        <v>219</v>
      </c>
      <c r="C19" s="104"/>
      <c r="D19" s="135">
        <f>$D$3*$D$7*C19</f>
        <v>0</v>
      </c>
      <c r="E19" s="114">
        <f>$D$3*$E$7*C19</f>
        <v>0</v>
      </c>
      <c r="F19" s="135">
        <f t="shared" si="5"/>
        <v>0</v>
      </c>
      <c r="G19" s="110"/>
      <c r="H19" s="136"/>
      <c r="I19" s="136">
        <f>C19*$F$3*$G$7</f>
        <v>0</v>
      </c>
      <c r="J19" s="110"/>
      <c r="K19" s="111"/>
      <c r="L19" s="109"/>
      <c r="M19" s="110"/>
      <c r="N19" s="110"/>
      <c r="O19" s="111"/>
    </row>
    <row r="20" spans="1:15" s="112" customFormat="1" x14ac:dyDescent="0.45">
      <c r="A20" s="102"/>
      <c r="B20" s="103" t="s">
        <v>331</v>
      </c>
      <c r="C20" s="104"/>
      <c r="D20" s="135">
        <f>$D$3*$D$7*C20</f>
        <v>0</v>
      </c>
      <c r="E20" s="114">
        <f>$D$3*$E$7*C20</f>
        <v>0</v>
      </c>
      <c r="F20" s="135">
        <f t="shared" ref="F20" si="6">I20</f>
        <v>0</v>
      </c>
      <c r="G20" s="110"/>
      <c r="H20" s="136"/>
      <c r="I20" s="136">
        <f>C20*$F$3*$G$7</f>
        <v>0</v>
      </c>
      <c r="J20" s="110"/>
      <c r="K20" s="111"/>
      <c r="L20" s="109"/>
      <c r="M20" s="110"/>
      <c r="N20" s="110"/>
      <c r="O20" s="111"/>
    </row>
    <row r="21" spans="1:15" s="112" customFormat="1" x14ac:dyDescent="0.45">
      <c r="A21" s="102" t="s">
        <v>100</v>
      </c>
      <c r="B21" s="103" t="s">
        <v>137</v>
      </c>
      <c r="C21" s="104">
        <v>705805.55</v>
      </c>
      <c r="D21" s="135">
        <f>$D$3*$D$7*C21</f>
        <v>31761.249750000003</v>
      </c>
      <c r="E21" s="114">
        <f>$D$3*$E$7*C21</f>
        <v>31761.249750000003</v>
      </c>
      <c r="F21" s="135">
        <f t="shared" si="5"/>
        <v>278793.19225000002</v>
      </c>
      <c r="G21" s="110"/>
      <c r="H21" s="136"/>
      <c r="I21" s="136">
        <f>C21*$F$3*$G$7</f>
        <v>278793.19225000002</v>
      </c>
      <c r="J21" s="110"/>
      <c r="K21" s="111"/>
      <c r="L21" s="109"/>
      <c r="M21" s="110"/>
      <c r="N21" s="110"/>
      <c r="O21" s="111"/>
    </row>
    <row r="22" spans="1:15" x14ac:dyDescent="0.45">
      <c r="D22" s="48"/>
      <c r="E22" s="49"/>
      <c r="F22" s="48"/>
      <c r="G22" s="58"/>
      <c r="H22" s="58"/>
      <c r="I22" s="58"/>
      <c r="J22" s="58"/>
      <c r="K22" s="49"/>
      <c r="L22" s="48"/>
      <c r="M22" s="58"/>
      <c r="N22" s="58"/>
      <c r="O22" s="49"/>
    </row>
    <row r="23" spans="1:15" ht="14.65" thickBot="1" x14ac:dyDescent="0.5">
      <c r="B23" s="47" t="s">
        <v>292</v>
      </c>
      <c r="C23" s="25">
        <f>SUM(C8:C21)</f>
        <v>8115582.6099999994</v>
      </c>
      <c r="D23" s="56">
        <f>SUM(D8:D21)</f>
        <v>355577.53365</v>
      </c>
      <c r="E23" s="56">
        <f t="shared" ref="E23:O23" si="7">SUM(E8:E21)</f>
        <v>355577.53365</v>
      </c>
      <c r="F23" s="56">
        <f t="shared" si="7"/>
        <v>1009622.0401750002</v>
      </c>
      <c r="G23" s="56">
        <f t="shared" si="7"/>
        <v>2815411.3773000003</v>
      </c>
      <c r="H23" s="56">
        <f t="shared" si="7"/>
        <v>2111558.5329749999</v>
      </c>
      <c r="I23" s="56">
        <f t="shared" si="7"/>
        <v>305769.19585000002</v>
      </c>
      <c r="J23" s="56">
        <f t="shared" si="7"/>
        <v>0</v>
      </c>
      <c r="K23" s="56">
        <f t="shared" si="7"/>
        <v>213859.64</v>
      </c>
      <c r="L23" s="56">
        <f t="shared" si="7"/>
        <v>0</v>
      </c>
      <c r="M23" s="56">
        <f t="shared" si="7"/>
        <v>0</v>
      </c>
      <c r="N23" s="56">
        <f t="shared" si="7"/>
        <v>0</v>
      </c>
      <c r="O23" s="56">
        <f t="shared" si="7"/>
        <v>0</v>
      </c>
    </row>
    <row r="24" spans="1:15" x14ac:dyDescent="0.45">
      <c r="B24" s="26"/>
      <c r="C24" s="25"/>
    </row>
    <row r="25" spans="1:15" x14ac:dyDescent="0.45">
      <c r="B25" s="26"/>
      <c r="C25" s="25"/>
      <c r="D25" s="25">
        <f>SUM(D23:O23)</f>
        <v>7167375.8536</v>
      </c>
      <c r="E25" s="25"/>
      <c r="F25" s="25"/>
      <c r="G25" s="25"/>
      <c r="H25" s="25"/>
      <c r="I25" s="25"/>
      <c r="J25" s="25"/>
      <c r="K25" s="25"/>
    </row>
  </sheetData>
  <mergeCells count="8">
    <mergeCell ref="D4:E4"/>
    <mergeCell ref="F4:K4"/>
    <mergeCell ref="L4:O4"/>
    <mergeCell ref="A1:K1"/>
    <mergeCell ref="A2:K2"/>
    <mergeCell ref="D3:E3"/>
    <mergeCell ref="F3:K3"/>
    <mergeCell ref="L3:O3"/>
  </mergeCells>
  <printOptions gridLines="1"/>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workbookViewId="0">
      <selection sqref="A1:D1"/>
    </sheetView>
  </sheetViews>
  <sheetFormatPr defaultColWidth="12.1328125" defaultRowHeight="14.25" x14ac:dyDescent="0.45"/>
  <cols>
    <col min="2" max="2" width="46.86328125" bestFit="1" customWidth="1"/>
    <col min="3" max="3" width="22.1328125" customWidth="1"/>
    <col min="7" max="7" width="20.86328125" bestFit="1" customWidth="1"/>
    <col min="8" max="9" width="12.73046875" bestFit="1" customWidth="1"/>
  </cols>
  <sheetData>
    <row r="1" spans="1:15" x14ac:dyDescent="0.45">
      <c r="A1" s="286" t="s">
        <v>343</v>
      </c>
      <c r="B1" s="286"/>
      <c r="C1" s="286"/>
      <c r="D1" s="286"/>
      <c r="E1" s="286"/>
      <c r="F1" s="286"/>
      <c r="G1" s="286"/>
      <c r="H1" s="286"/>
      <c r="I1" s="286"/>
      <c r="J1" s="286"/>
      <c r="K1" s="286"/>
    </row>
    <row r="2" spans="1:15" ht="14.65" hidden="1" thickBot="1" x14ac:dyDescent="0.5">
      <c r="A2" s="286" t="s">
        <v>260</v>
      </c>
      <c r="B2" s="286"/>
      <c r="C2" s="286"/>
      <c r="D2" s="286"/>
      <c r="E2" s="286"/>
      <c r="F2" s="286"/>
      <c r="G2" s="286"/>
      <c r="H2" s="286"/>
      <c r="I2" s="286"/>
      <c r="J2" s="286"/>
      <c r="K2" s="286"/>
    </row>
    <row r="3" spans="1:15" hidden="1" x14ac:dyDescent="0.45">
      <c r="D3" s="281">
        <v>0.09</v>
      </c>
      <c r="E3" s="283"/>
      <c r="F3" s="281">
        <f>1-L3-D3</f>
        <v>0.79</v>
      </c>
      <c r="G3" s="284"/>
      <c r="H3" s="284"/>
      <c r="I3" s="284"/>
      <c r="J3" s="284"/>
      <c r="K3" s="285"/>
      <c r="L3" s="281">
        <v>0.12</v>
      </c>
      <c r="M3" s="282"/>
      <c r="N3" s="282"/>
      <c r="O3" s="283"/>
    </row>
    <row r="4" spans="1:15" x14ac:dyDescent="0.45">
      <c r="D4" s="278" t="s">
        <v>258</v>
      </c>
      <c r="E4" s="280"/>
      <c r="F4" s="278" t="s">
        <v>259</v>
      </c>
      <c r="G4" s="279"/>
      <c r="H4" s="279"/>
      <c r="I4" s="279"/>
      <c r="J4" s="279"/>
      <c r="K4" s="280"/>
      <c r="L4" s="278" t="s">
        <v>254</v>
      </c>
      <c r="M4" s="279"/>
      <c r="N4" s="279"/>
      <c r="O4" s="280"/>
    </row>
    <row r="5" spans="1:15" ht="43.5" customHeight="1" x14ac:dyDescent="0.45">
      <c r="D5" s="50" t="s">
        <v>334</v>
      </c>
      <c r="E5" s="51" t="s">
        <v>283</v>
      </c>
      <c r="F5" s="50" t="s">
        <v>335</v>
      </c>
      <c r="G5" s="59" t="s">
        <v>336</v>
      </c>
      <c r="H5" s="59" t="s">
        <v>288</v>
      </c>
      <c r="I5" s="59" t="s">
        <v>287</v>
      </c>
      <c r="J5" s="59" t="s">
        <v>289</v>
      </c>
      <c r="K5" s="51" t="s">
        <v>291</v>
      </c>
      <c r="L5" s="50" t="s">
        <v>284</v>
      </c>
      <c r="M5" s="59" t="s">
        <v>285</v>
      </c>
      <c r="N5" s="59" t="s">
        <v>286</v>
      </c>
      <c r="O5" s="51" t="s">
        <v>290</v>
      </c>
    </row>
    <row r="6" spans="1:15" x14ac:dyDescent="0.45">
      <c r="A6" s="24" t="s">
        <v>0</v>
      </c>
      <c r="B6" s="24" t="s">
        <v>225</v>
      </c>
      <c r="C6" s="24" t="s">
        <v>13</v>
      </c>
      <c r="D6" s="48">
        <v>3375</v>
      </c>
      <c r="E6" s="49">
        <v>3369</v>
      </c>
      <c r="F6" s="48">
        <v>3034</v>
      </c>
      <c r="G6" s="58">
        <v>3323</v>
      </c>
      <c r="H6" s="58">
        <v>3037</v>
      </c>
      <c r="I6" s="58">
        <v>6</v>
      </c>
      <c r="J6" s="58">
        <v>365</v>
      </c>
      <c r="K6" s="49">
        <v>432</v>
      </c>
      <c r="L6" s="48">
        <v>3388</v>
      </c>
      <c r="M6" s="58">
        <v>3040</v>
      </c>
      <c r="N6" s="58">
        <v>3039</v>
      </c>
      <c r="O6" s="49">
        <v>417</v>
      </c>
    </row>
    <row r="7" spans="1:15" x14ac:dyDescent="0.45">
      <c r="A7" s="24"/>
      <c r="B7" s="24"/>
      <c r="C7" s="24"/>
      <c r="D7" s="52">
        <v>0.5</v>
      </c>
      <c r="E7" s="53">
        <v>0.5</v>
      </c>
      <c r="F7" s="60">
        <f>0.25*(G7+I7)</f>
        <v>0.125</v>
      </c>
      <c r="G7" s="61">
        <v>0.25</v>
      </c>
      <c r="H7" s="61">
        <f>G7-F7</f>
        <v>0.125</v>
      </c>
      <c r="I7" s="61">
        <f>G7</f>
        <v>0.25</v>
      </c>
      <c r="J7" s="58"/>
      <c r="K7" s="49"/>
      <c r="L7" s="48"/>
      <c r="M7" s="58"/>
      <c r="N7" s="58"/>
      <c r="O7" s="49"/>
    </row>
    <row r="8" spans="1:15" x14ac:dyDescent="0.45">
      <c r="A8" s="19" t="s">
        <v>100</v>
      </c>
      <c r="B8" s="101" t="s">
        <v>199</v>
      </c>
      <c r="C8" s="20">
        <v>5176380</v>
      </c>
      <c r="D8" s="54">
        <f>$D$3*$D$7*C8</f>
        <v>232937.1</v>
      </c>
      <c r="E8" s="55">
        <f>$D$3*$E$7*C8</f>
        <v>232937.1</v>
      </c>
      <c r="F8" s="54">
        <f>$F$7*$F$3*C8</f>
        <v>511167.52500000002</v>
      </c>
      <c r="G8" s="62">
        <f>$F$3*$G$7*C8</f>
        <v>1022335.05</v>
      </c>
      <c r="H8" s="62">
        <f t="shared" ref="H8:H15" si="0">C8*$F$3*$H$7</f>
        <v>511167.52500000002</v>
      </c>
      <c r="I8" s="62">
        <f>G8</f>
        <v>1022335.05</v>
      </c>
      <c r="J8" s="58"/>
      <c r="K8" s="49"/>
      <c r="L8" s="48"/>
      <c r="M8" s="58"/>
      <c r="N8" s="58"/>
      <c r="O8" s="49"/>
    </row>
    <row r="9" spans="1:15" hidden="1" x14ac:dyDescent="0.45">
      <c r="A9" s="19" t="s">
        <v>100</v>
      </c>
      <c r="B9" s="44" t="s">
        <v>117</v>
      </c>
      <c r="C9" s="20">
        <v>0</v>
      </c>
      <c r="D9" s="54">
        <f>$D$3*$D$7*C9</f>
        <v>0</v>
      </c>
      <c r="E9" s="55">
        <f>$D$3*$E$7*C9</f>
        <v>0</v>
      </c>
      <c r="F9" s="54">
        <f>$F$7*$F$3*C9</f>
        <v>0</v>
      </c>
      <c r="G9" s="62">
        <f>$F$3*$G$7*C9</f>
        <v>0</v>
      </c>
      <c r="H9" s="62">
        <f t="shared" si="0"/>
        <v>0</v>
      </c>
      <c r="I9" s="58"/>
      <c r="J9" s="58"/>
      <c r="K9" s="49"/>
      <c r="L9" s="48"/>
      <c r="M9" s="58"/>
      <c r="N9" s="58"/>
      <c r="O9" s="49"/>
    </row>
    <row r="10" spans="1:15" hidden="1" x14ac:dyDescent="0.45">
      <c r="A10" s="19" t="s">
        <v>100</v>
      </c>
      <c r="B10" s="86" t="s">
        <v>119</v>
      </c>
      <c r="C10" s="20">
        <v>0</v>
      </c>
      <c r="D10" s="54">
        <f>$D$3*$D$7*C10</f>
        <v>0</v>
      </c>
      <c r="E10" s="55">
        <f>$D$3*$E$7*C10</f>
        <v>0</v>
      </c>
      <c r="F10" s="54">
        <f>$F$7*$F$3*C10</f>
        <v>0</v>
      </c>
      <c r="G10" s="62">
        <f>$F$3*$G$7*C10</f>
        <v>0</v>
      </c>
      <c r="H10" s="62">
        <f t="shared" si="0"/>
        <v>0</v>
      </c>
      <c r="I10" s="58"/>
      <c r="J10" s="58"/>
      <c r="K10" s="49"/>
      <c r="L10" s="48"/>
      <c r="M10" s="58"/>
      <c r="N10" s="58"/>
      <c r="O10" s="49"/>
    </row>
    <row r="11" spans="1:15" hidden="1" x14ac:dyDescent="0.45">
      <c r="A11" s="19" t="s">
        <v>100</v>
      </c>
      <c r="B11" s="44" t="s">
        <v>124</v>
      </c>
      <c r="C11" s="20">
        <v>0</v>
      </c>
      <c r="D11" s="54">
        <f>$D$3*$D$7*C11</f>
        <v>0</v>
      </c>
      <c r="E11" s="55">
        <f>$D$3*$E$7*C11</f>
        <v>0</v>
      </c>
      <c r="F11" s="54">
        <f>$F$7*$F$3*C11</f>
        <v>0</v>
      </c>
      <c r="G11" s="62">
        <f>$F$3*$G$7*C11</f>
        <v>0</v>
      </c>
      <c r="H11" s="62">
        <f t="shared" si="0"/>
        <v>0</v>
      </c>
      <c r="I11" s="58"/>
      <c r="J11" s="58"/>
      <c r="K11" s="49"/>
      <c r="L11" s="48"/>
      <c r="M11" s="58"/>
      <c r="N11" s="58"/>
      <c r="O11" s="49"/>
    </row>
    <row r="12" spans="1:15" hidden="1" x14ac:dyDescent="0.45">
      <c r="A12" s="19"/>
      <c r="B12" s="44"/>
      <c r="C12" s="20"/>
      <c r="D12" s="54"/>
      <c r="E12" s="55"/>
      <c r="F12" s="54"/>
      <c r="G12" s="58"/>
      <c r="H12" s="62">
        <f t="shared" si="0"/>
        <v>0</v>
      </c>
      <c r="I12" s="58"/>
      <c r="J12" s="58"/>
      <c r="K12" s="49"/>
      <c r="L12" s="48"/>
      <c r="M12" s="58"/>
      <c r="N12" s="58"/>
      <c r="O12" s="49"/>
    </row>
    <row r="13" spans="1:15" hidden="1" x14ac:dyDescent="0.45">
      <c r="A13" s="19" t="s">
        <v>100</v>
      </c>
      <c r="B13" s="46" t="s">
        <v>214</v>
      </c>
      <c r="C13" s="20">
        <v>0</v>
      </c>
      <c r="D13" s="54"/>
      <c r="E13" s="55"/>
      <c r="F13" s="54"/>
      <c r="G13" s="58"/>
      <c r="H13" s="62">
        <f t="shared" si="0"/>
        <v>0</v>
      </c>
      <c r="I13" s="58"/>
      <c r="J13" s="62">
        <f>C13-K13-O13</f>
        <v>0</v>
      </c>
      <c r="K13" s="55">
        <f>0.9*0.75*C13</f>
        <v>0</v>
      </c>
      <c r="L13" s="48"/>
      <c r="M13" s="58"/>
      <c r="N13" s="58"/>
      <c r="O13" s="55">
        <f>0.1*C13</f>
        <v>0</v>
      </c>
    </row>
    <row r="14" spans="1:15" hidden="1" x14ac:dyDescent="0.45">
      <c r="A14" s="19" t="s">
        <v>100</v>
      </c>
      <c r="B14" s="87" t="s">
        <v>129</v>
      </c>
      <c r="C14" s="20">
        <v>0</v>
      </c>
      <c r="D14" s="54"/>
      <c r="E14" s="55"/>
      <c r="F14" s="54"/>
      <c r="G14" s="58"/>
      <c r="H14" s="62">
        <f t="shared" si="0"/>
        <v>0</v>
      </c>
      <c r="I14" s="58"/>
      <c r="J14" s="58"/>
      <c r="K14" s="63">
        <f>C14</f>
        <v>0</v>
      </c>
      <c r="L14" s="48"/>
      <c r="M14" s="58"/>
      <c r="N14" s="58"/>
      <c r="O14" s="49"/>
    </row>
    <row r="15" spans="1:15" hidden="1" x14ac:dyDescent="0.45">
      <c r="A15" s="19"/>
      <c r="B15" s="46"/>
      <c r="C15" s="20"/>
      <c r="D15" s="54"/>
      <c r="E15" s="55"/>
      <c r="F15" s="54"/>
      <c r="G15" s="58"/>
      <c r="H15" s="62">
        <f t="shared" si="0"/>
        <v>0</v>
      </c>
      <c r="I15" s="58"/>
      <c r="J15" s="58"/>
      <c r="K15" s="49"/>
      <c r="L15" s="48"/>
      <c r="M15" s="58"/>
      <c r="N15" s="58"/>
      <c r="O15" s="49"/>
    </row>
    <row r="16" spans="1:15" hidden="1" x14ac:dyDescent="0.45">
      <c r="A16" s="19" t="s">
        <v>100</v>
      </c>
      <c r="B16" s="45" t="s">
        <v>126</v>
      </c>
      <c r="C16" s="20">
        <v>0</v>
      </c>
      <c r="D16" s="54">
        <f>$D$3*$D$7*C16</f>
        <v>0</v>
      </c>
      <c r="E16" s="55">
        <f>$D$3*$E$7*C16</f>
        <v>0</v>
      </c>
      <c r="F16" s="54">
        <f>I16</f>
        <v>0</v>
      </c>
      <c r="G16" s="58"/>
      <c r="H16" s="62"/>
      <c r="I16" s="62">
        <f>C16*$F$3*$G$7</f>
        <v>0</v>
      </c>
      <c r="J16" s="58"/>
      <c r="K16" s="49"/>
      <c r="L16" s="48"/>
      <c r="M16" s="58"/>
      <c r="N16" s="58"/>
      <c r="O16" s="49"/>
    </row>
    <row r="17" spans="1:15" hidden="1" x14ac:dyDescent="0.45">
      <c r="A17" s="19" t="s">
        <v>100</v>
      </c>
      <c r="B17" s="45" t="s">
        <v>131</v>
      </c>
      <c r="C17" s="20">
        <v>0</v>
      </c>
      <c r="D17" s="54">
        <f>$D$3*$D$7*C17</f>
        <v>0</v>
      </c>
      <c r="E17" s="55">
        <f>$D$3*$E$7*C17</f>
        <v>0</v>
      </c>
      <c r="F17" s="54">
        <f t="shared" ref="F17:F19" si="1">I17</f>
        <v>0</v>
      </c>
      <c r="G17" s="58"/>
      <c r="H17" s="62"/>
      <c r="I17" s="62">
        <f>C17*$F$3*$G$7</f>
        <v>0</v>
      </c>
      <c r="J17" s="58"/>
      <c r="K17" s="49"/>
      <c r="L17" s="48"/>
      <c r="M17" s="58"/>
      <c r="N17" s="58"/>
      <c r="O17" s="49"/>
    </row>
    <row r="18" spans="1:15" hidden="1" x14ac:dyDescent="0.45">
      <c r="A18" s="19" t="s">
        <v>100</v>
      </c>
      <c r="B18" s="45" t="s">
        <v>219</v>
      </c>
      <c r="C18" s="20">
        <v>0</v>
      </c>
      <c r="D18" s="54">
        <f>$D$3*$D$7*C18</f>
        <v>0</v>
      </c>
      <c r="E18" s="55">
        <f>$D$3*$E$7*C18</f>
        <v>0</v>
      </c>
      <c r="F18" s="54">
        <f t="shared" si="1"/>
        <v>0</v>
      </c>
      <c r="G18" s="58"/>
      <c r="H18" s="62"/>
      <c r="I18" s="62">
        <f>C18*$F$3*$G$7</f>
        <v>0</v>
      </c>
      <c r="J18" s="58"/>
      <c r="K18" s="49"/>
      <c r="L18" s="48"/>
      <c r="M18" s="58"/>
      <c r="N18" s="58"/>
      <c r="O18" s="49"/>
    </row>
    <row r="19" spans="1:15" hidden="1" x14ac:dyDescent="0.45">
      <c r="A19" s="19" t="s">
        <v>100</v>
      </c>
      <c r="B19" s="45" t="s">
        <v>137</v>
      </c>
      <c r="C19" s="20">
        <v>0</v>
      </c>
      <c r="D19" s="54">
        <f>$D$3*$D$7*C19</f>
        <v>0</v>
      </c>
      <c r="E19" s="55">
        <f>$D$3*$E$7*C19</f>
        <v>0</v>
      </c>
      <c r="F19" s="54">
        <f t="shared" si="1"/>
        <v>0</v>
      </c>
      <c r="G19" s="58"/>
      <c r="H19" s="62"/>
      <c r="I19" s="62">
        <f>C19*$F$3*$G$7</f>
        <v>0</v>
      </c>
      <c r="J19" s="58"/>
      <c r="K19" s="49"/>
      <c r="L19" s="48"/>
      <c r="M19" s="58"/>
      <c r="N19" s="58"/>
      <c r="O19" s="49"/>
    </row>
    <row r="20" spans="1:15" x14ac:dyDescent="0.45">
      <c r="D20" s="48"/>
      <c r="E20" s="49"/>
      <c r="F20" s="48"/>
      <c r="G20" s="58"/>
      <c r="H20" s="58"/>
      <c r="I20" s="58"/>
      <c r="J20" s="58"/>
      <c r="K20" s="49"/>
      <c r="L20" s="48"/>
      <c r="M20" s="58"/>
      <c r="N20" s="58"/>
      <c r="O20" s="49"/>
    </row>
    <row r="21" spans="1:15" ht="14.65" thickBot="1" x14ac:dyDescent="0.5">
      <c r="B21" s="47" t="s">
        <v>292</v>
      </c>
      <c r="C21" s="25">
        <f>SUM(C8:C19)</f>
        <v>5176380</v>
      </c>
      <c r="D21" s="56">
        <f t="shared" ref="D21:K21" si="2">SUM(D8:D19)</f>
        <v>232937.1</v>
      </c>
      <c r="E21" s="57">
        <f t="shared" si="2"/>
        <v>232937.1</v>
      </c>
      <c r="F21" s="56">
        <f t="shared" si="2"/>
        <v>511167.52500000002</v>
      </c>
      <c r="G21" s="64">
        <f t="shared" si="2"/>
        <v>1022335.05</v>
      </c>
      <c r="H21" s="64">
        <f t="shared" si="2"/>
        <v>511167.52500000002</v>
      </c>
      <c r="I21" s="64">
        <f t="shared" si="2"/>
        <v>1022335.05</v>
      </c>
      <c r="J21" s="64">
        <f t="shared" si="2"/>
        <v>0</v>
      </c>
      <c r="K21" s="57">
        <f t="shared" si="2"/>
        <v>0</v>
      </c>
      <c r="L21" s="65"/>
      <c r="M21" s="66"/>
      <c r="N21" s="66"/>
      <c r="O21" s="67"/>
    </row>
    <row r="22" spans="1:15" x14ac:dyDescent="0.45">
      <c r="B22" s="26" t="s">
        <v>327</v>
      </c>
      <c r="C22" s="141">
        <v>6</v>
      </c>
    </row>
    <row r="23" spans="1:15" x14ac:dyDescent="0.45">
      <c r="B23" s="26" t="s">
        <v>342</v>
      </c>
      <c r="C23" s="25">
        <f>$C$22*C21</f>
        <v>31058280</v>
      </c>
      <c r="D23" s="25">
        <f t="shared" ref="D23:I23" si="3">$C$22*D21</f>
        <v>1397622.6</v>
      </c>
      <c r="E23" s="25">
        <f t="shared" si="3"/>
        <v>1397622.6</v>
      </c>
      <c r="F23" s="25">
        <f t="shared" si="3"/>
        <v>3067005.1500000004</v>
      </c>
      <c r="G23" s="25">
        <f t="shared" si="3"/>
        <v>6134010.3000000007</v>
      </c>
      <c r="H23" s="25">
        <f t="shared" si="3"/>
        <v>3067005.1500000004</v>
      </c>
      <c r="I23" s="25">
        <f t="shared" si="3"/>
        <v>6134010.3000000007</v>
      </c>
      <c r="J23" s="25"/>
      <c r="K23" s="25"/>
    </row>
  </sheetData>
  <mergeCells count="8">
    <mergeCell ref="D4:E4"/>
    <mergeCell ref="F4:K4"/>
    <mergeCell ref="L4:O4"/>
    <mergeCell ref="A1:K1"/>
    <mergeCell ref="A2:K2"/>
    <mergeCell ref="D3:E3"/>
    <mergeCell ref="F3:K3"/>
    <mergeCell ref="L3:O3"/>
  </mergeCells>
  <printOptions gridLines="1"/>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workbookViewId="0">
      <selection sqref="A1:D1"/>
    </sheetView>
  </sheetViews>
  <sheetFormatPr defaultRowHeight="14.25" x14ac:dyDescent="0.45"/>
  <sheetData>
    <row r="1" spans="1:21" ht="15" x14ac:dyDescent="0.45">
      <c r="A1" s="80" t="s">
        <v>305</v>
      </c>
      <c r="B1" s="81"/>
      <c r="C1" s="81"/>
      <c r="D1" s="81"/>
      <c r="E1" s="81"/>
      <c r="F1" s="81"/>
      <c r="G1" s="81"/>
      <c r="H1" s="81"/>
      <c r="I1" s="81"/>
      <c r="J1" s="81"/>
      <c r="K1" s="81"/>
      <c r="L1" s="81"/>
      <c r="M1" s="81"/>
      <c r="N1" s="81"/>
      <c r="O1" s="81"/>
      <c r="P1" s="81"/>
      <c r="Q1" s="81"/>
      <c r="R1" s="81"/>
      <c r="S1" s="81"/>
      <c r="T1" s="81"/>
      <c r="U1" s="81"/>
    </row>
    <row r="2" spans="1:21" x14ac:dyDescent="0.45">
      <c r="A2" s="315" t="s">
        <v>306</v>
      </c>
      <c r="B2" s="316"/>
      <c r="C2" s="321" t="s">
        <v>307</v>
      </c>
      <c r="D2" s="322"/>
      <c r="E2" s="322"/>
      <c r="F2" s="322"/>
      <c r="G2" s="322"/>
      <c r="H2" s="322"/>
      <c r="I2" s="322"/>
      <c r="J2" s="322"/>
      <c r="K2" s="322"/>
      <c r="L2" s="322"/>
      <c r="M2" s="322"/>
      <c r="N2" s="322"/>
      <c r="O2" s="322"/>
      <c r="P2" s="322"/>
      <c r="Q2" s="322"/>
      <c r="R2" s="322"/>
      <c r="S2" s="322"/>
      <c r="T2" s="322"/>
      <c r="U2" s="323"/>
    </row>
    <row r="3" spans="1:21" x14ac:dyDescent="0.45">
      <c r="A3" s="317"/>
      <c r="B3" s="318"/>
      <c r="C3" s="321" t="s">
        <v>308</v>
      </c>
      <c r="D3" s="322"/>
      <c r="E3" s="322"/>
      <c r="F3" s="322"/>
      <c r="G3" s="322"/>
      <c r="H3" s="322"/>
      <c r="I3" s="322"/>
      <c r="J3" s="322"/>
      <c r="K3" s="322"/>
      <c r="L3" s="322"/>
      <c r="M3" s="322"/>
      <c r="N3" s="322"/>
      <c r="O3" s="322"/>
      <c r="P3" s="322"/>
      <c r="Q3" s="322"/>
      <c r="R3" s="322"/>
      <c r="S3" s="323"/>
      <c r="T3" s="290" t="s">
        <v>309</v>
      </c>
      <c r="U3" s="291"/>
    </row>
    <row r="4" spans="1:21" x14ac:dyDescent="0.45">
      <c r="A4" s="319"/>
      <c r="B4" s="320"/>
      <c r="C4" s="324">
        <v>6</v>
      </c>
      <c r="D4" s="325"/>
      <c r="E4" s="326"/>
      <c r="F4" s="324">
        <v>7</v>
      </c>
      <c r="G4" s="325"/>
      <c r="H4" s="326"/>
      <c r="I4" s="324">
        <v>8</v>
      </c>
      <c r="J4" s="326"/>
      <c r="K4" s="324">
        <v>9</v>
      </c>
      <c r="L4" s="325"/>
      <c r="M4" s="326"/>
      <c r="N4" s="324">
        <v>10</v>
      </c>
      <c r="O4" s="325"/>
      <c r="P4" s="326"/>
      <c r="Q4" s="324">
        <v>11</v>
      </c>
      <c r="R4" s="325"/>
      <c r="S4" s="326"/>
      <c r="T4" s="292"/>
      <c r="U4" s="293"/>
    </row>
    <row r="5" spans="1:21" x14ac:dyDescent="0.45">
      <c r="A5" s="307" t="s">
        <v>310</v>
      </c>
      <c r="B5" s="308"/>
      <c r="C5" s="308"/>
      <c r="D5" s="308"/>
      <c r="E5" s="308"/>
      <c r="F5" s="308"/>
      <c r="G5" s="308"/>
      <c r="H5" s="308"/>
      <c r="I5" s="308"/>
      <c r="J5" s="308"/>
      <c r="K5" s="308"/>
      <c r="L5" s="308"/>
      <c r="M5" s="308"/>
      <c r="N5" s="308"/>
      <c r="O5" s="308"/>
      <c r="P5" s="308"/>
      <c r="Q5" s="308"/>
      <c r="R5" s="308"/>
      <c r="S5" s="308"/>
      <c r="T5" s="308"/>
      <c r="U5" s="309"/>
    </row>
    <row r="6" spans="1:21" x14ac:dyDescent="0.45">
      <c r="A6" s="300" t="s">
        <v>311</v>
      </c>
      <c r="B6" s="301"/>
      <c r="C6" s="297">
        <v>12500</v>
      </c>
      <c r="D6" s="298"/>
      <c r="E6" s="299"/>
      <c r="F6" s="297">
        <v>12500</v>
      </c>
      <c r="G6" s="298"/>
      <c r="H6" s="299"/>
      <c r="I6" s="297">
        <v>12500</v>
      </c>
      <c r="J6" s="299"/>
      <c r="K6" s="297">
        <v>12500</v>
      </c>
      <c r="L6" s="298"/>
      <c r="M6" s="299"/>
      <c r="N6" s="297">
        <v>12500</v>
      </c>
      <c r="O6" s="298"/>
      <c r="P6" s="299"/>
      <c r="Q6" s="297">
        <v>12500</v>
      </c>
      <c r="R6" s="298"/>
      <c r="S6" s="299"/>
      <c r="T6" s="297">
        <v>75000</v>
      </c>
      <c r="U6" s="299"/>
    </row>
    <row r="7" spans="1:21" x14ac:dyDescent="0.45">
      <c r="A7" s="300" t="s">
        <v>312</v>
      </c>
      <c r="B7" s="301"/>
      <c r="C7" s="297">
        <v>25000</v>
      </c>
      <c r="D7" s="298"/>
      <c r="E7" s="299"/>
      <c r="F7" s="297">
        <v>25000</v>
      </c>
      <c r="G7" s="298"/>
      <c r="H7" s="299"/>
      <c r="I7" s="297">
        <v>25000</v>
      </c>
      <c r="J7" s="299"/>
      <c r="K7" s="297">
        <v>25000</v>
      </c>
      <c r="L7" s="298"/>
      <c r="M7" s="299"/>
      <c r="N7" s="297">
        <v>25000</v>
      </c>
      <c r="O7" s="298"/>
      <c r="P7" s="299"/>
      <c r="Q7" s="297">
        <v>25000</v>
      </c>
      <c r="R7" s="298"/>
      <c r="S7" s="299"/>
      <c r="T7" s="297">
        <v>150000</v>
      </c>
      <c r="U7" s="299"/>
    </row>
    <row r="8" spans="1:21" x14ac:dyDescent="0.45">
      <c r="A8" s="300" t="s">
        <v>313</v>
      </c>
      <c r="B8" s="301"/>
      <c r="C8" s="297">
        <v>50000</v>
      </c>
      <c r="D8" s="298"/>
      <c r="E8" s="299"/>
      <c r="F8" s="297">
        <v>50000</v>
      </c>
      <c r="G8" s="298"/>
      <c r="H8" s="299"/>
      <c r="I8" s="297">
        <v>50000</v>
      </c>
      <c r="J8" s="299"/>
      <c r="K8" s="297">
        <v>50000</v>
      </c>
      <c r="L8" s="298"/>
      <c r="M8" s="299"/>
      <c r="N8" s="297">
        <v>50000</v>
      </c>
      <c r="O8" s="298"/>
      <c r="P8" s="299"/>
      <c r="Q8" s="297">
        <v>50000</v>
      </c>
      <c r="R8" s="298"/>
      <c r="S8" s="299"/>
      <c r="T8" s="297">
        <v>300000</v>
      </c>
      <c r="U8" s="299"/>
    </row>
    <row r="9" spans="1:21" x14ac:dyDescent="0.45">
      <c r="A9" s="300" t="s">
        <v>314</v>
      </c>
      <c r="B9" s="301"/>
      <c r="C9" s="297">
        <v>50000</v>
      </c>
      <c r="D9" s="298"/>
      <c r="E9" s="299"/>
      <c r="F9" s="297">
        <v>50000</v>
      </c>
      <c r="G9" s="298"/>
      <c r="H9" s="299"/>
      <c r="I9" s="297">
        <v>50000</v>
      </c>
      <c r="J9" s="299"/>
      <c r="K9" s="297">
        <v>50000</v>
      </c>
      <c r="L9" s="298"/>
      <c r="M9" s="299"/>
      <c r="N9" s="297">
        <v>50000</v>
      </c>
      <c r="O9" s="298"/>
      <c r="P9" s="299"/>
      <c r="Q9" s="297">
        <v>50000</v>
      </c>
      <c r="R9" s="298"/>
      <c r="S9" s="299"/>
      <c r="T9" s="297">
        <v>300000</v>
      </c>
      <c r="U9" s="299"/>
    </row>
    <row r="10" spans="1:21" x14ac:dyDescent="0.45">
      <c r="A10" s="300" t="s">
        <v>315</v>
      </c>
      <c r="B10" s="301"/>
      <c r="C10" s="297">
        <v>50000</v>
      </c>
      <c r="D10" s="298"/>
      <c r="E10" s="299"/>
      <c r="F10" s="297">
        <v>50000</v>
      </c>
      <c r="G10" s="298"/>
      <c r="H10" s="299"/>
      <c r="I10" s="297">
        <v>50000</v>
      </c>
      <c r="J10" s="299"/>
      <c r="K10" s="297">
        <v>50000</v>
      </c>
      <c r="L10" s="298"/>
      <c r="M10" s="299"/>
      <c r="N10" s="297">
        <v>50000</v>
      </c>
      <c r="O10" s="298"/>
      <c r="P10" s="299"/>
      <c r="Q10" s="297">
        <v>50000</v>
      </c>
      <c r="R10" s="298"/>
      <c r="S10" s="299"/>
      <c r="T10" s="297">
        <v>300000</v>
      </c>
      <c r="U10" s="299"/>
    </row>
    <row r="11" spans="1:21" x14ac:dyDescent="0.45">
      <c r="A11" s="300" t="s">
        <v>316</v>
      </c>
      <c r="B11" s="301"/>
      <c r="C11" s="297">
        <v>50000</v>
      </c>
      <c r="D11" s="298"/>
      <c r="E11" s="299"/>
      <c r="F11" s="297">
        <v>50000</v>
      </c>
      <c r="G11" s="298"/>
      <c r="H11" s="299"/>
      <c r="I11" s="297">
        <v>50000</v>
      </c>
      <c r="J11" s="299"/>
      <c r="K11" s="297">
        <v>50000</v>
      </c>
      <c r="L11" s="298"/>
      <c r="M11" s="299"/>
      <c r="N11" s="297">
        <v>50000</v>
      </c>
      <c r="O11" s="298"/>
      <c r="P11" s="299"/>
      <c r="Q11" s="297">
        <v>50000</v>
      </c>
      <c r="R11" s="298"/>
      <c r="S11" s="299"/>
      <c r="T11" s="297">
        <v>300000</v>
      </c>
      <c r="U11" s="299"/>
    </row>
    <row r="12" spans="1:21" x14ac:dyDescent="0.45">
      <c r="A12" s="307" t="s">
        <v>317</v>
      </c>
      <c r="B12" s="308"/>
      <c r="C12" s="308"/>
      <c r="D12" s="308"/>
      <c r="E12" s="308"/>
      <c r="F12" s="308"/>
      <c r="G12" s="308"/>
      <c r="H12" s="308"/>
      <c r="I12" s="308"/>
      <c r="J12" s="308"/>
      <c r="K12" s="308"/>
      <c r="L12" s="308"/>
      <c r="M12" s="308"/>
      <c r="N12" s="308"/>
      <c r="O12" s="308"/>
      <c r="P12" s="308"/>
      <c r="Q12" s="308"/>
      <c r="R12" s="308"/>
      <c r="S12" s="308"/>
      <c r="T12" s="308"/>
      <c r="U12" s="309"/>
    </row>
    <row r="13" spans="1:21" x14ac:dyDescent="0.45">
      <c r="A13" s="310" t="s">
        <v>318</v>
      </c>
      <c r="B13" s="311"/>
      <c r="C13" s="312">
        <v>5176380</v>
      </c>
      <c r="D13" s="313"/>
      <c r="E13" s="314"/>
      <c r="F13" s="312">
        <v>5176380</v>
      </c>
      <c r="G13" s="313"/>
      <c r="H13" s="314"/>
      <c r="I13" s="312">
        <v>5176380</v>
      </c>
      <c r="J13" s="314"/>
      <c r="K13" s="312">
        <v>5176380</v>
      </c>
      <c r="L13" s="313"/>
      <c r="M13" s="314"/>
      <c r="N13" s="312">
        <v>5183640</v>
      </c>
      <c r="O13" s="313"/>
      <c r="P13" s="314"/>
      <c r="Q13" s="312">
        <v>5183640</v>
      </c>
      <c r="R13" s="313"/>
      <c r="S13" s="314"/>
      <c r="T13" s="312">
        <v>31072800</v>
      </c>
      <c r="U13" s="314"/>
    </row>
    <row r="14" spans="1:21" x14ac:dyDescent="0.45">
      <c r="A14" s="302" t="s">
        <v>319</v>
      </c>
      <c r="B14" s="303"/>
      <c r="C14" s="304">
        <v>-8590213</v>
      </c>
      <c r="D14" s="305"/>
      <c r="E14" s="306"/>
      <c r="F14" s="304">
        <v>-8590213</v>
      </c>
      <c r="G14" s="305"/>
      <c r="H14" s="306"/>
      <c r="I14" s="304">
        <v>-8590213</v>
      </c>
      <c r="J14" s="306"/>
      <c r="K14" s="304">
        <v>-8590213</v>
      </c>
      <c r="L14" s="305"/>
      <c r="M14" s="306"/>
      <c r="N14" s="304">
        <v>-8580594</v>
      </c>
      <c r="O14" s="305"/>
      <c r="P14" s="306"/>
      <c r="Q14" s="304">
        <v>-8580594</v>
      </c>
      <c r="R14" s="305"/>
      <c r="S14" s="306"/>
      <c r="T14" s="304">
        <v>-51522040</v>
      </c>
      <c r="U14" s="306"/>
    </row>
    <row r="15" spans="1:21" x14ac:dyDescent="0.45">
      <c r="A15" s="300" t="s">
        <v>320</v>
      </c>
      <c r="B15" s="301"/>
      <c r="C15" s="297">
        <v>2000</v>
      </c>
      <c r="D15" s="298"/>
      <c r="E15" s="299"/>
      <c r="F15" s="297">
        <v>2000</v>
      </c>
      <c r="G15" s="298"/>
      <c r="H15" s="299"/>
      <c r="I15" s="297">
        <v>2000</v>
      </c>
      <c r="J15" s="299"/>
      <c r="K15" s="297">
        <v>2000</v>
      </c>
      <c r="L15" s="298"/>
      <c r="M15" s="299"/>
      <c r="N15" s="297">
        <v>2000</v>
      </c>
      <c r="O15" s="298"/>
      <c r="P15" s="299"/>
      <c r="Q15" s="297">
        <v>2000</v>
      </c>
      <c r="R15" s="298"/>
      <c r="S15" s="299"/>
      <c r="T15" s="297">
        <v>12000</v>
      </c>
      <c r="U15" s="299"/>
    </row>
    <row r="16" spans="1:21" x14ac:dyDescent="0.45">
      <c r="A16" s="300" t="s">
        <v>321</v>
      </c>
      <c r="B16" s="301"/>
      <c r="C16" s="297">
        <v>5000</v>
      </c>
      <c r="D16" s="298"/>
      <c r="E16" s="299"/>
      <c r="F16" s="297">
        <v>5000</v>
      </c>
      <c r="G16" s="298"/>
      <c r="H16" s="299"/>
      <c r="I16" s="297">
        <v>5000</v>
      </c>
      <c r="J16" s="299"/>
      <c r="K16" s="297">
        <v>5000</v>
      </c>
      <c r="L16" s="298"/>
      <c r="M16" s="299"/>
      <c r="N16" s="297">
        <v>5000</v>
      </c>
      <c r="O16" s="298"/>
      <c r="P16" s="299"/>
      <c r="Q16" s="297">
        <v>5000</v>
      </c>
      <c r="R16" s="298"/>
      <c r="S16" s="299"/>
      <c r="T16" s="297">
        <v>30000</v>
      </c>
      <c r="U16" s="299"/>
    </row>
    <row r="17" spans="1:21" x14ac:dyDescent="0.45">
      <c r="A17" s="300" t="s">
        <v>322</v>
      </c>
      <c r="B17" s="301"/>
      <c r="C17" s="297">
        <v>373825</v>
      </c>
      <c r="D17" s="298"/>
      <c r="E17" s="299"/>
      <c r="F17" s="297">
        <v>373825</v>
      </c>
      <c r="G17" s="298"/>
      <c r="H17" s="299"/>
      <c r="I17" s="297">
        <v>614850</v>
      </c>
      <c r="J17" s="299"/>
      <c r="K17" s="297">
        <v>614850</v>
      </c>
      <c r="L17" s="298"/>
      <c r="M17" s="299"/>
      <c r="N17" s="297">
        <v>763640</v>
      </c>
      <c r="O17" s="298"/>
      <c r="P17" s="299"/>
      <c r="Q17" s="297">
        <v>763640</v>
      </c>
      <c r="R17" s="298"/>
      <c r="S17" s="299"/>
      <c r="T17" s="297">
        <v>3504630</v>
      </c>
      <c r="U17" s="299"/>
    </row>
    <row r="18" spans="1:21" x14ac:dyDescent="0.45">
      <c r="A18" s="300" t="s">
        <v>323</v>
      </c>
      <c r="B18" s="301"/>
      <c r="C18" s="297">
        <v>117470</v>
      </c>
      <c r="D18" s="298"/>
      <c r="E18" s="299"/>
      <c r="F18" s="297">
        <v>117470</v>
      </c>
      <c r="G18" s="298"/>
      <c r="H18" s="299"/>
      <c r="I18" s="297">
        <v>117470</v>
      </c>
      <c r="J18" s="299"/>
      <c r="K18" s="297">
        <v>117470</v>
      </c>
      <c r="L18" s="298"/>
      <c r="M18" s="299"/>
      <c r="N18" s="297">
        <v>117470</v>
      </c>
      <c r="O18" s="298"/>
      <c r="P18" s="299"/>
      <c r="Q18" s="297">
        <v>117470</v>
      </c>
      <c r="R18" s="298"/>
      <c r="S18" s="299"/>
      <c r="T18" s="297">
        <v>704820</v>
      </c>
      <c r="U18" s="299"/>
    </row>
    <row r="19" spans="1:21" x14ac:dyDescent="0.45">
      <c r="A19" s="300" t="s">
        <v>324</v>
      </c>
      <c r="B19" s="301"/>
      <c r="C19" s="297">
        <v>13816</v>
      </c>
      <c r="D19" s="298"/>
      <c r="E19" s="299"/>
      <c r="F19" s="297">
        <v>13816</v>
      </c>
      <c r="G19" s="298"/>
      <c r="H19" s="299"/>
      <c r="I19" s="297">
        <v>13816</v>
      </c>
      <c r="J19" s="299"/>
      <c r="K19" s="297">
        <v>13816</v>
      </c>
      <c r="L19" s="298"/>
      <c r="M19" s="299"/>
      <c r="N19" s="297">
        <v>13816</v>
      </c>
      <c r="O19" s="298"/>
      <c r="P19" s="299"/>
      <c r="Q19" s="297">
        <v>13816</v>
      </c>
      <c r="R19" s="298"/>
      <c r="S19" s="299"/>
      <c r="T19" s="297">
        <v>82896</v>
      </c>
      <c r="U19" s="299"/>
    </row>
    <row r="20" spans="1:21" x14ac:dyDescent="0.45">
      <c r="A20" s="300" t="s">
        <v>325</v>
      </c>
      <c r="B20" s="301"/>
      <c r="C20" s="297">
        <v>1974</v>
      </c>
      <c r="D20" s="298"/>
      <c r="E20" s="299"/>
      <c r="F20" s="297">
        <v>1974</v>
      </c>
      <c r="G20" s="298"/>
      <c r="H20" s="299"/>
      <c r="I20" s="297">
        <v>1974</v>
      </c>
      <c r="J20" s="299"/>
      <c r="K20" s="297">
        <v>1974</v>
      </c>
      <c r="L20" s="298"/>
      <c r="M20" s="299"/>
      <c r="N20" s="297">
        <v>1974</v>
      </c>
      <c r="O20" s="298"/>
      <c r="P20" s="299"/>
      <c r="Q20" s="297">
        <v>1974</v>
      </c>
      <c r="R20" s="298"/>
      <c r="S20" s="299"/>
      <c r="T20" s="297">
        <v>11844</v>
      </c>
      <c r="U20" s="299"/>
    </row>
    <row r="21" spans="1:21" x14ac:dyDescent="0.45">
      <c r="A21" s="290" t="s">
        <v>326</v>
      </c>
      <c r="B21" s="291"/>
      <c r="C21" s="294">
        <v>5927965</v>
      </c>
      <c r="D21" s="295"/>
      <c r="E21" s="296"/>
      <c r="F21" s="294">
        <v>5927965</v>
      </c>
      <c r="G21" s="295"/>
      <c r="H21" s="296"/>
      <c r="I21" s="294">
        <v>6168990</v>
      </c>
      <c r="J21" s="296"/>
      <c r="K21" s="294">
        <v>6168990</v>
      </c>
      <c r="L21" s="295"/>
      <c r="M21" s="296"/>
      <c r="N21" s="294">
        <v>6325040</v>
      </c>
      <c r="O21" s="295"/>
      <c r="P21" s="296"/>
      <c r="Q21" s="294">
        <v>6325040</v>
      </c>
      <c r="R21" s="295"/>
      <c r="S21" s="296"/>
      <c r="T21" s="294">
        <v>36843990</v>
      </c>
      <c r="U21" s="296"/>
    </row>
    <row r="22" spans="1:21" x14ac:dyDescent="0.45">
      <c r="A22" s="292"/>
      <c r="B22" s="293"/>
      <c r="C22" s="287">
        <v>-9291798</v>
      </c>
      <c r="D22" s="288"/>
      <c r="E22" s="289"/>
      <c r="F22" s="287">
        <v>-9291798</v>
      </c>
      <c r="G22" s="288"/>
      <c r="H22" s="289"/>
      <c r="I22" s="287">
        <v>-9532823</v>
      </c>
      <c r="J22" s="289"/>
      <c r="K22" s="287">
        <v>-9532823</v>
      </c>
      <c r="L22" s="288"/>
      <c r="M22" s="289"/>
      <c r="N22" s="287">
        <v>-9671994</v>
      </c>
      <c r="O22" s="288"/>
      <c r="P22" s="289"/>
      <c r="Q22" s="287">
        <v>-9671994</v>
      </c>
      <c r="R22" s="288"/>
      <c r="S22" s="289"/>
      <c r="T22" s="287">
        <v>-56993230</v>
      </c>
      <c r="U22" s="289"/>
    </row>
  </sheetData>
  <mergeCells count="139">
    <mergeCell ref="A2:B4"/>
    <mergeCell ref="C2:U2"/>
    <mergeCell ref="C3:S3"/>
    <mergeCell ref="T3:U4"/>
    <mergeCell ref="C4:E4"/>
    <mergeCell ref="F4:H4"/>
    <mergeCell ref="I4:J4"/>
    <mergeCell ref="K4:M4"/>
    <mergeCell ref="N4:P4"/>
    <mergeCell ref="Q4:S4"/>
    <mergeCell ref="A5:U5"/>
    <mergeCell ref="A6:B6"/>
    <mergeCell ref="C6:E6"/>
    <mergeCell ref="F6:H6"/>
    <mergeCell ref="I6:J6"/>
    <mergeCell ref="K6:M6"/>
    <mergeCell ref="N6:P6"/>
    <mergeCell ref="Q6:S6"/>
    <mergeCell ref="T6:U6"/>
    <mergeCell ref="Q7:S7"/>
    <mergeCell ref="T7:U7"/>
    <mergeCell ref="A8:B8"/>
    <mergeCell ref="C8:E8"/>
    <mergeCell ref="F8:H8"/>
    <mergeCell ref="I8:J8"/>
    <mergeCell ref="K8:M8"/>
    <mergeCell ref="N8:P8"/>
    <mergeCell ref="Q8:S8"/>
    <mergeCell ref="T8:U8"/>
    <mergeCell ref="A7:B7"/>
    <mergeCell ref="C7:E7"/>
    <mergeCell ref="F7:H7"/>
    <mergeCell ref="I7:J7"/>
    <mergeCell ref="K7:M7"/>
    <mergeCell ref="N7:P7"/>
    <mergeCell ref="Q9:S9"/>
    <mergeCell ref="T9:U9"/>
    <mergeCell ref="A10:B10"/>
    <mergeCell ref="C10:E10"/>
    <mergeCell ref="F10:H10"/>
    <mergeCell ref="I10:J10"/>
    <mergeCell ref="K10:M10"/>
    <mergeCell ref="N10:P10"/>
    <mergeCell ref="Q10:S10"/>
    <mergeCell ref="T10:U10"/>
    <mergeCell ref="A9:B9"/>
    <mergeCell ref="C9:E9"/>
    <mergeCell ref="F9:H9"/>
    <mergeCell ref="I9:J9"/>
    <mergeCell ref="K9:M9"/>
    <mergeCell ref="N9:P9"/>
    <mergeCell ref="Q11:S11"/>
    <mergeCell ref="T11:U11"/>
    <mergeCell ref="A12:U12"/>
    <mergeCell ref="A13:B13"/>
    <mergeCell ref="C13:E13"/>
    <mergeCell ref="F13:H13"/>
    <mergeCell ref="I13:J13"/>
    <mergeCell ref="K13:M13"/>
    <mergeCell ref="N13:P13"/>
    <mergeCell ref="Q13:S13"/>
    <mergeCell ref="A11:B11"/>
    <mergeCell ref="C11:E11"/>
    <mergeCell ref="F11:H11"/>
    <mergeCell ref="I11:J11"/>
    <mergeCell ref="K11:M11"/>
    <mergeCell ref="N11:P11"/>
    <mergeCell ref="T13:U13"/>
    <mergeCell ref="A14:B14"/>
    <mergeCell ref="C14:E14"/>
    <mergeCell ref="F14:H14"/>
    <mergeCell ref="I14:J14"/>
    <mergeCell ref="K14:M14"/>
    <mergeCell ref="N14:P14"/>
    <mergeCell ref="Q14:S14"/>
    <mergeCell ref="T14:U14"/>
    <mergeCell ref="Q15:S15"/>
    <mergeCell ref="T15:U15"/>
    <mergeCell ref="A16:B16"/>
    <mergeCell ref="C16:E16"/>
    <mergeCell ref="F16:H16"/>
    <mergeCell ref="I16:J16"/>
    <mergeCell ref="K16:M16"/>
    <mergeCell ref="N16:P16"/>
    <mergeCell ref="Q16:S16"/>
    <mergeCell ref="T16:U16"/>
    <mergeCell ref="A15:B15"/>
    <mergeCell ref="C15:E15"/>
    <mergeCell ref="F15:H15"/>
    <mergeCell ref="I15:J15"/>
    <mergeCell ref="K15:M15"/>
    <mergeCell ref="N15:P15"/>
    <mergeCell ref="Q17:S17"/>
    <mergeCell ref="T17:U17"/>
    <mergeCell ref="A18:B18"/>
    <mergeCell ref="C18:E18"/>
    <mergeCell ref="F18:H18"/>
    <mergeCell ref="I18:J18"/>
    <mergeCell ref="K18:M18"/>
    <mergeCell ref="N18:P18"/>
    <mergeCell ref="Q18:S18"/>
    <mergeCell ref="T18:U18"/>
    <mergeCell ref="A17:B17"/>
    <mergeCell ref="C17:E17"/>
    <mergeCell ref="F17:H17"/>
    <mergeCell ref="I17:J17"/>
    <mergeCell ref="K17:M17"/>
    <mergeCell ref="N17:P17"/>
    <mergeCell ref="Q19:S19"/>
    <mergeCell ref="T19:U19"/>
    <mergeCell ref="A20:B20"/>
    <mergeCell ref="C20:E20"/>
    <mergeCell ref="F20:H20"/>
    <mergeCell ref="I20:J20"/>
    <mergeCell ref="K20:M20"/>
    <mergeCell ref="N20:P20"/>
    <mergeCell ref="Q20:S20"/>
    <mergeCell ref="T20:U20"/>
    <mergeCell ref="A19:B19"/>
    <mergeCell ref="C19:E19"/>
    <mergeCell ref="F19:H19"/>
    <mergeCell ref="I19:J19"/>
    <mergeCell ref="K19:M19"/>
    <mergeCell ref="N19:P19"/>
    <mergeCell ref="C22:E22"/>
    <mergeCell ref="F22:H22"/>
    <mergeCell ref="I22:J22"/>
    <mergeCell ref="K22:M22"/>
    <mergeCell ref="N22:P22"/>
    <mergeCell ref="Q22:S22"/>
    <mergeCell ref="T22:U22"/>
    <mergeCell ref="A21:B22"/>
    <mergeCell ref="C21:E21"/>
    <mergeCell ref="F21:H21"/>
    <mergeCell ref="I21:J21"/>
    <mergeCell ref="K21:M21"/>
    <mergeCell ref="N21:P21"/>
    <mergeCell ref="Q21:S21"/>
    <mergeCell ref="T21:U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29"/>
  <sheetViews>
    <sheetView topLeftCell="A11" workbookViewId="0">
      <selection sqref="A1:D1"/>
    </sheetView>
  </sheetViews>
  <sheetFormatPr defaultRowHeight="14.25" x14ac:dyDescent="0.45"/>
  <cols>
    <col min="1" max="1" width="7.73046875" bestFit="1" customWidth="1"/>
    <col min="2" max="2" width="12" bestFit="1" customWidth="1"/>
    <col min="3" max="3" width="7.73046875" bestFit="1" customWidth="1"/>
    <col min="4" max="4" width="15.73046875" bestFit="1" customWidth="1"/>
    <col min="5" max="5" width="20.3984375" bestFit="1" customWidth="1"/>
    <col min="6" max="6" width="12.265625" bestFit="1" customWidth="1"/>
    <col min="7" max="7" width="12.73046875" bestFit="1" customWidth="1"/>
    <col min="8" max="8" width="12" bestFit="1" customWidth="1"/>
    <col min="9" max="9" width="7.73046875" bestFit="1" customWidth="1"/>
    <col min="10" max="10" width="15.73046875" bestFit="1" customWidth="1"/>
    <col min="11" max="11" width="20.3984375" bestFit="1" customWidth="1"/>
    <col min="12" max="12" width="12.265625" bestFit="1" customWidth="1"/>
    <col min="13" max="13" width="12.73046875" bestFit="1" customWidth="1"/>
    <col min="14" max="14" width="6.86328125" bestFit="1" customWidth="1"/>
    <col min="15" max="15" width="5.86328125" bestFit="1" customWidth="1"/>
    <col min="16" max="16" width="28" bestFit="1" customWidth="1"/>
    <col min="18" max="18" width="4.59765625" bestFit="1" customWidth="1"/>
  </cols>
  <sheetData>
    <row r="3" spans="1:22" s="27" customFormat="1" x14ac:dyDescent="0.45">
      <c r="A3" s="328" t="s">
        <v>261</v>
      </c>
      <c r="B3" s="328"/>
      <c r="C3" s="328"/>
      <c r="D3" s="328"/>
      <c r="E3" s="328"/>
      <c r="F3" s="328"/>
      <c r="G3" s="328"/>
      <c r="H3" s="328"/>
      <c r="I3" s="328"/>
      <c r="J3" s="328"/>
      <c r="K3" s="328"/>
      <c r="L3" s="328"/>
      <c r="M3" s="328"/>
      <c r="N3" s="328"/>
      <c r="O3" s="328"/>
      <c r="P3" s="328"/>
      <c r="Q3" s="328"/>
    </row>
    <row r="4" spans="1:22" s="27" customFormat="1" ht="15" customHeight="1" x14ac:dyDescent="0.45">
      <c r="A4" s="327" t="s">
        <v>263</v>
      </c>
      <c r="B4" s="28" t="s">
        <v>264</v>
      </c>
      <c r="C4" s="28" t="s">
        <v>265</v>
      </c>
      <c r="D4" s="28" t="s">
        <v>266</v>
      </c>
      <c r="E4" s="28" t="s">
        <v>267</v>
      </c>
      <c r="F4" s="43" t="s">
        <v>268</v>
      </c>
      <c r="G4" s="28" t="s">
        <v>90</v>
      </c>
      <c r="H4" s="28" t="str">
        <f>B4</f>
        <v>Green Roofs</v>
      </c>
      <c r="I4" s="28" t="str">
        <f>C4</f>
        <v>Harvest</v>
      </c>
      <c r="J4" s="28" t="str">
        <f>D4</f>
        <v>Impervious Area</v>
      </c>
      <c r="K4" s="28" t="str">
        <f>E4</f>
        <v>Permeable Pavement</v>
      </c>
      <c r="L4" s="28" t="str">
        <f>F4</f>
        <v>Bioretention</v>
      </c>
      <c r="M4" s="28"/>
      <c r="N4" s="29" t="s">
        <v>269</v>
      </c>
      <c r="P4" s="29" t="s">
        <v>270</v>
      </c>
    </row>
    <row r="5" spans="1:22" s="27" customFormat="1" x14ac:dyDescent="0.45">
      <c r="A5" s="327" t="s">
        <v>271</v>
      </c>
      <c r="B5" s="28"/>
      <c r="C5" s="28"/>
      <c r="D5" s="28"/>
      <c r="E5" s="28"/>
      <c r="F5" s="28"/>
      <c r="G5" s="28"/>
      <c r="H5" s="28"/>
      <c r="I5" s="28"/>
      <c r="J5" s="28"/>
      <c r="K5" s="28"/>
      <c r="L5" s="28"/>
      <c r="M5" s="28"/>
      <c r="N5" s="28"/>
      <c r="O5" s="28"/>
      <c r="P5" s="28"/>
      <c r="Q5" s="28"/>
      <c r="R5" s="28">
        <v>0.09</v>
      </c>
      <c r="S5" s="28"/>
      <c r="T5" s="29"/>
      <c r="V5" s="29"/>
    </row>
    <row r="6" spans="1:22" s="27" customFormat="1" ht="15.4" x14ac:dyDescent="0.45">
      <c r="A6" s="30" t="s">
        <v>271</v>
      </c>
      <c r="B6" s="31">
        <v>0.09</v>
      </c>
      <c r="C6" s="31">
        <v>0.08</v>
      </c>
      <c r="D6" s="31">
        <v>0.09</v>
      </c>
      <c r="E6" s="31">
        <v>0.09</v>
      </c>
      <c r="F6" s="31">
        <v>0.28999999999999998</v>
      </c>
      <c r="G6" s="31">
        <v>0.09</v>
      </c>
      <c r="H6" s="32" t="e">
        <f t="shared" ref="H6" si="0">B6*#REF!</f>
        <v>#REF!</v>
      </c>
      <c r="I6" s="33" t="e">
        <f t="shared" ref="I6" si="1">C6*#REF!</f>
        <v>#REF!</v>
      </c>
      <c r="J6" s="33" t="e">
        <f t="shared" ref="J6" si="2">D6*#REF!</f>
        <v>#REF!</v>
      </c>
      <c r="K6" s="33" t="e">
        <f t="shared" ref="K6" si="3">E6*#REF!</f>
        <v>#REF!</v>
      </c>
      <c r="L6" s="33" t="e">
        <f t="shared" ref="L6" si="4">F6*#REF!</f>
        <v>#REF!</v>
      </c>
      <c r="M6" s="33" t="e">
        <f t="shared" ref="M6" si="5">G6*#REF!</f>
        <v>#REF!</v>
      </c>
      <c r="N6" s="34" t="e">
        <f>SUM(H6:L6)</f>
        <v>#REF!</v>
      </c>
      <c r="O6" s="29"/>
      <c r="P6" s="29"/>
    </row>
    <row r="7" spans="1:22" s="27" customFormat="1" ht="30.75" x14ac:dyDescent="0.45">
      <c r="B7" s="31">
        <v>0.5</v>
      </c>
      <c r="C7" s="31">
        <v>1</v>
      </c>
      <c r="D7" s="31">
        <v>1</v>
      </c>
      <c r="E7" s="31">
        <v>1</v>
      </c>
      <c r="F7" s="31">
        <v>0.5</v>
      </c>
      <c r="G7" s="31">
        <v>0.25</v>
      </c>
      <c r="H7" s="35" t="e">
        <f t="shared" ref="H7:M7" si="6">B7*H6</f>
        <v>#REF!</v>
      </c>
      <c r="I7" s="35" t="e">
        <f t="shared" si="6"/>
        <v>#REF!</v>
      </c>
      <c r="J7" s="35" t="e">
        <f t="shared" si="6"/>
        <v>#REF!</v>
      </c>
      <c r="K7" s="35" t="e">
        <f t="shared" si="6"/>
        <v>#REF!</v>
      </c>
      <c r="L7" s="35" t="e">
        <f t="shared" si="6"/>
        <v>#REF!</v>
      </c>
      <c r="M7" s="35" t="e">
        <f t="shared" si="6"/>
        <v>#REF!</v>
      </c>
      <c r="N7" s="34" t="e">
        <f t="shared" ref="N7:N14" si="7">SUM(H7:L7)</f>
        <v>#REF!</v>
      </c>
      <c r="O7" s="36">
        <v>3375</v>
      </c>
      <c r="P7" s="37" t="s">
        <v>272</v>
      </c>
    </row>
    <row r="8" spans="1:22" s="27" customFormat="1" ht="15.4" x14ac:dyDescent="0.45">
      <c r="A8" s="28"/>
      <c r="B8" s="31">
        <v>0.5</v>
      </c>
      <c r="C8" s="31">
        <v>0</v>
      </c>
      <c r="D8" s="31">
        <v>0</v>
      </c>
      <c r="E8" s="31">
        <v>0</v>
      </c>
      <c r="F8" s="31">
        <v>0.5</v>
      </c>
      <c r="G8" s="31">
        <v>0.75</v>
      </c>
      <c r="H8" s="35" t="e">
        <f t="shared" ref="H8:M8" si="8">B8*H6</f>
        <v>#REF!</v>
      </c>
      <c r="I8" s="35" t="e">
        <f t="shared" si="8"/>
        <v>#REF!</v>
      </c>
      <c r="J8" s="35" t="e">
        <f t="shared" si="8"/>
        <v>#REF!</v>
      </c>
      <c r="K8" s="35" t="e">
        <f t="shared" si="8"/>
        <v>#REF!</v>
      </c>
      <c r="L8" s="35" t="e">
        <f t="shared" si="8"/>
        <v>#REF!</v>
      </c>
      <c r="M8" s="35" t="e">
        <f t="shared" si="8"/>
        <v>#REF!</v>
      </c>
      <c r="N8" s="34" t="e">
        <f t="shared" si="7"/>
        <v>#REF!</v>
      </c>
      <c r="O8" s="36">
        <v>3369</v>
      </c>
      <c r="P8" s="37" t="s">
        <v>273</v>
      </c>
    </row>
    <row r="9" spans="1:22" s="27" customFormat="1" ht="15.4" x14ac:dyDescent="0.45">
      <c r="A9" s="30" t="s">
        <v>274</v>
      </c>
      <c r="B9" s="31">
        <f t="shared" ref="B9:G9" si="9">1-B6-B12</f>
        <v>0.68</v>
      </c>
      <c r="C9" s="31">
        <f t="shared" si="9"/>
        <v>0.57000000000000006</v>
      </c>
      <c r="D9" s="31">
        <f t="shared" si="9"/>
        <v>0.77</v>
      </c>
      <c r="E9" s="31">
        <f t="shared" si="9"/>
        <v>0.77</v>
      </c>
      <c r="F9" s="31">
        <f t="shared" si="9"/>
        <v>0.59</v>
      </c>
      <c r="G9" s="31">
        <f t="shared" si="9"/>
        <v>0.36</v>
      </c>
      <c r="H9" s="35" t="e">
        <f t="shared" ref="H9" si="10">B9*#REF!</f>
        <v>#REF!</v>
      </c>
      <c r="I9" s="35" t="e">
        <f t="shared" ref="I9" si="11">C9*#REF!</f>
        <v>#REF!</v>
      </c>
      <c r="J9" s="35" t="e">
        <f t="shared" ref="J9" si="12">D9*#REF!</f>
        <v>#REF!</v>
      </c>
      <c r="K9" s="35" t="e">
        <f t="shared" ref="K9" si="13">E9*#REF!</f>
        <v>#REF!</v>
      </c>
      <c r="L9" s="35" t="e">
        <f t="shared" ref="L9" si="14">F9*#REF!</f>
        <v>#REF!</v>
      </c>
      <c r="M9" s="35" t="e">
        <f t="shared" ref="M9" si="15">G9*#REF!</f>
        <v>#REF!</v>
      </c>
      <c r="N9" s="34" t="e">
        <f t="shared" si="7"/>
        <v>#REF!</v>
      </c>
      <c r="O9" s="36"/>
      <c r="P9" s="37"/>
    </row>
    <row r="10" spans="1:22" s="27" customFormat="1" ht="30.75" x14ac:dyDescent="0.45">
      <c r="A10" s="28"/>
      <c r="B10" s="31">
        <v>0.5</v>
      </c>
      <c r="C10" s="31">
        <v>1</v>
      </c>
      <c r="D10" s="31">
        <v>1</v>
      </c>
      <c r="E10" s="31">
        <v>1</v>
      </c>
      <c r="F10" s="31">
        <v>0.75</v>
      </c>
      <c r="G10" s="31">
        <v>0</v>
      </c>
      <c r="H10" s="35" t="e">
        <f t="shared" ref="H10:M10" si="16">B10*H9</f>
        <v>#REF!</v>
      </c>
      <c r="I10" s="35" t="e">
        <f t="shared" si="16"/>
        <v>#REF!</v>
      </c>
      <c r="J10" s="35" t="e">
        <f t="shared" si="16"/>
        <v>#REF!</v>
      </c>
      <c r="K10" s="35" t="e">
        <f t="shared" si="16"/>
        <v>#REF!</v>
      </c>
      <c r="L10" s="35" t="e">
        <f t="shared" si="16"/>
        <v>#REF!</v>
      </c>
      <c r="M10" s="35" t="e">
        <f t="shared" si="16"/>
        <v>#REF!</v>
      </c>
      <c r="N10" s="34" t="e">
        <f t="shared" si="7"/>
        <v>#REF!</v>
      </c>
      <c r="O10" s="38">
        <v>3034</v>
      </c>
      <c r="P10" s="39" t="s">
        <v>275</v>
      </c>
    </row>
    <row r="11" spans="1:22" s="27" customFormat="1" ht="30.75" x14ac:dyDescent="0.45">
      <c r="A11" s="28"/>
      <c r="B11" s="31">
        <v>0.5</v>
      </c>
      <c r="C11" s="31">
        <v>0</v>
      </c>
      <c r="D11" s="31">
        <v>0</v>
      </c>
      <c r="E11" s="31">
        <v>0</v>
      </c>
      <c r="F11" s="31">
        <v>0.25</v>
      </c>
      <c r="G11" s="31">
        <v>1</v>
      </c>
      <c r="H11" s="35" t="e">
        <f t="shared" ref="H11:M11" si="17">B11*H9</f>
        <v>#REF!</v>
      </c>
      <c r="I11" s="35" t="e">
        <f t="shared" si="17"/>
        <v>#REF!</v>
      </c>
      <c r="J11" s="35" t="e">
        <f t="shared" si="17"/>
        <v>#REF!</v>
      </c>
      <c r="K11" s="35" t="e">
        <f t="shared" si="17"/>
        <v>#REF!</v>
      </c>
      <c r="L11" s="35" t="e">
        <f t="shared" si="17"/>
        <v>#REF!</v>
      </c>
      <c r="M11" s="35" t="e">
        <f t="shared" si="17"/>
        <v>#REF!</v>
      </c>
      <c r="N11" s="34" t="e">
        <f t="shared" si="7"/>
        <v>#REF!</v>
      </c>
      <c r="O11" s="36">
        <v>3323</v>
      </c>
      <c r="P11" s="37" t="s">
        <v>276</v>
      </c>
    </row>
    <row r="12" spans="1:22" s="27" customFormat="1" ht="15.4" x14ac:dyDescent="0.45">
      <c r="A12" s="30" t="s">
        <v>254</v>
      </c>
      <c r="B12" s="31">
        <v>0.23</v>
      </c>
      <c r="C12" s="31">
        <v>0.35</v>
      </c>
      <c r="D12" s="31">
        <v>0.14000000000000001</v>
      </c>
      <c r="E12" s="31">
        <v>0.14000000000000001</v>
      </c>
      <c r="F12" s="31">
        <v>0.12</v>
      </c>
      <c r="G12" s="31">
        <v>0.55000000000000004</v>
      </c>
      <c r="H12" s="35" t="e">
        <f t="shared" ref="H12" si="18">B12*#REF!</f>
        <v>#REF!</v>
      </c>
      <c r="I12" s="35" t="e">
        <f t="shared" ref="I12" si="19">C12*#REF!</f>
        <v>#REF!</v>
      </c>
      <c r="J12" s="35" t="e">
        <f t="shared" ref="J12" si="20">D12*#REF!</f>
        <v>#REF!</v>
      </c>
      <c r="K12" s="35" t="e">
        <f t="shared" ref="K12" si="21">E12*#REF!</f>
        <v>#REF!</v>
      </c>
      <c r="L12" s="35" t="e">
        <f t="shared" ref="L12" si="22">F12*#REF!</f>
        <v>#REF!</v>
      </c>
      <c r="M12" s="35" t="e">
        <f t="shared" ref="M12" si="23">G12*#REF!</f>
        <v>#REF!</v>
      </c>
      <c r="N12" s="34" t="e">
        <f t="shared" si="7"/>
        <v>#REF!</v>
      </c>
      <c r="O12" s="40"/>
      <c r="P12" s="40"/>
    </row>
    <row r="13" spans="1:22" s="27" customFormat="1" ht="30.75" x14ac:dyDescent="0.45">
      <c r="A13" s="28"/>
      <c r="B13" s="31">
        <v>0.5</v>
      </c>
      <c r="C13" s="31">
        <v>0.5</v>
      </c>
      <c r="D13" s="31">
        <v>0</v>
      </c>
      <c r="E13" s="31">
        <v>0</v>
      </c>
      <c r="F13" s="31">
        <v>0.25</v>
      </c>
      <c r="G13" s="31">
        <v>0.75</v>
      </c>
      <c r="H13" s="35" t="e">
        <f t="shared" ref="H13:M13" si="24">B13*H12</f>
        <v>#REF!</v>
      </c>
      <c r="I13" s="35" t="e">
        <f t="shared" si="24"/>
        <v>#REF!</v>
      </c>
      <c r="J13" s="35" t="e">
        <f t="shared" si="24"/>
        <v>#REF!</v>
      </c>
      <c r="K13" s="35" t="e">
        <f t="shared" si="24"/>
        <v>#REF!</v>
      </c>
      <c r="L13" s="35" t="e">
        <f t="shared" si="24"/>
        <v>#REF!</v>
      </c>
      <c r="M13" s="35" t="e">
        <f t="shared" si="24"/>
        <v>#REF!</v>
      </c>
      <c r="N13" s="34" t="e">
        <f t="shared" si="7"/>
        <v>#REF!</v>
      </c>
      <c r="O13" s="38">
        <v>3388</v>
      </c>
      <c r="P13" s="39" t="s">
        <v>277</v>
      </c>
    </row>
    <row r="14" spans="1:22" s="27" customFormat="1" ht="30.75" x14ac:dyDescent="0.45">
      <c r="A14" s="28"/>
      <c r="B14" s="31">
        <v>0.5</v>
      </c>
      <c r="C14" s="31">
        <v>0.5</v>
      </c>
      <c r="D14" s="31">
        <v>1</v>
      </c>
      <c r="E14" s="31">
        <v>1</v>
      </c>
      <c r="F14" s="31">
        <v>0.75</v>
      </c>
      <c r="G14" s="31">
        <v>0.25</v>
      </c>
      <c r="H14" s="35" t="e">
        <f t="shared" ref="H14:M14" si="25">B14*H12</f>
        <v>#REF!</v>
      </c>
      <c r="I14" s="35" t="e">
        <f t="shared" si="25"/>
        <v>#REF!</v>
      </c>
      <c r="J14" s="35" t="e">
        <f t="shared" si="25"/>
        <v>#REF!</v>
      </c>
      <c r="K14" s="35" t="e">
        <f t="shared" si="25"/>
        <v>#REF!</v>
      </c>
      <c r="L14" s="35" t="e">
        <f t="shared" si="25"/>
        <v>#REF!</v>
      </c>
      <c r="M14" s="35" t="e">
        <f t="shared" si="25"/>
        <v>#REF!</v>
      </c>
      <c r="N14" s="34" t="e">
        <f t="shared" si="7"/>
        <v>#REF!</v>
      </c>
      <c r="O14" s="38">
        <v>3039</v>
      </c>
      <c r="P14" s="39" t="s">
        <v>278</v>
      </c>
    </row>
    <row r="15" spans="1:22" s="27" customFormat="1" ht="15.4" x14ac:dyDescent="0.45">
      <c r="A15" s="30" t="s">
        <v>269</v>
      </c>
      <c r="B15" s="31">
        <v>1</v>
      </c>
      <c r="C15" s="31">
        <v>1</v>
      </c>
      <c r="D15" s="31">
        <v>1</v>
      </c>
      <c r="E15" s="31">
        <v>1</v>
      </c>
      <c r="F15" s="31">
        <v>1</v>
      </c>
      <c r="G15" s="31">
        <v>1</v>
      </c>
      <c r="H15" s="35" t="e">
        <f>H14+H13+H11+H10+H8+H7</f>
        <v>#REF!</v>
      </c>
      <c r="I15" s="35" t="e">
        <f t="shared" ref="I15:N15" si="26">I14+I13+I11+I10+I8+I7</f>
        <v>#REF!</v>
      </c>
      <c r="J15" s="35" t="e">
        <f t="shared" si="26"/>
        <v>#REF!</v>
      </c>
      <c r="K15" s="35" t="e">
        <f t="shared" si="26"/>
        <v>#REF!</v>
      </c>
      <c r="L15" s="35" t="e">
        <f t="shared" si="26"/>
        <v>#REF!</v>
      </c>
      <c r="M15" s="35" t="e">
        <f t="shared" si="26"/>
        <v>#REF!</v>
      </c>
      <c r="N15" s="35" t="e">
        <f t="shared" si="26"/>
        <v>#REF!</v>
      </c>
      <c r="O15" s="40"/>
      <c r="P15" s="40"/>
    </row>
    <row r="16" spans="1:22" s="27" customFormat="1" ht="15.75" customHeight="1" x14ac:dyDescent="0.45">
      <c r="A16" s="328" t="s">
        <v>279</v>
      </c>
      <c r="B16" s="328"/>
      <c r="C16" s="328"/>
      <c r="D16" s="328"/>
      <c r="E16" s="328"/>
      <c r="F16" s="328"/>
      <c r="G16" s="328"/>
      <c r="H16" s="328"/>
      <c r="I16" s="328"/>
      <c r="J16" s="328"/>
      <c r="K16" s="328"/>
      <c r="L16" s="328"/>
      <c r="M16" s="328"/>
      <c r="N16" s="328"/>
      <c r="O16" s="328"/>
      <c r="P16" s="328"/>
      <c r="Q16" s="328"/>
    </row>
    <row r="17" spans="1:17" s="27" customFormat="1" x14ac:dyDescent="0.45">
      <c r="A17" s="328" t="s">
        <v>262</v>
      </c>
      <c r="B17" s="328"/>
      <c r="C17" s="328"/>
      <c r="D17" s="328"/>
      <c r="E17" s="328"/>
      <c r="F17" s="328"/>
      <c r="G17" s="328"/>
      <c r="H17" s="328"/>
      <c r="I17" s="328"/>
      <c r="J17" s="328"/>
      <c r="K17" s="328"/>
      <c r="L17" s="328"/>
      <c r="M17" s="328"/>
      <c r="N17" s="328"/>
      <c r="O17" s="328">
        <f>SUM(M17,K17,I17,G17,E17,C17)</f>
        <v>0</v>
      </c>
      <c r="P17" s="328"/>
      <c r="Q17" s="328"/>
    </row>
    <row r="18" spans="1:17" s="27" customFormat="1" ht="15" customHeight="1" x14ac:dyDescent="0.45">
      <c r="A18" s="327" t="s">
        <v>263</v>
      </c>
      <c r="B18" s="327" t="s">
        <v>264</v>
      </c>
      <c r="C18" s="327" t="s">
        <v>265</v>
      </c>
      <c r="D18" s="327" t="s">
        <v>266</v>
      </c>
      <c r="E18" s="327" t="s">
        <v>267</v>
      </c>
      <c r="F18" s="327" t="s">
        <v>268</v>
      </c>
      <c r="G18" s="327" t="s">
        <v>90</v>
      </c>
      <c r="H18" s="327" t="s">
        <v>264</v>
      </c>
      <c r="I18" s="327" t="s">
        <v>265</v>
      </c>
      <c r="J18" s="327" t="s">
        <v>266</v>
      </c>
      <c r="K18" s="327" t="s">
        <v>267</v>
      </c>
      <c r="L18" s="327" t="s">
        <v>268</v>
      </c>
      <c r="M18" s="327" t="s">
        <v>90</v>
      </c>
    </row>
    <row r="19" spans="1:17" s="27" customFormat="1" x14ac:dyDescent="0.45">
      <c r="A19" s="327" t="s">
        <v>271</v>
      </c>
      <c r="B19" s="327">
        <v>0.09</v>
      </c>
      <c r="C19" s="327">
        <v>0.08</v>
      </c>
      <c r="D19" s="327">
        <v>0.09</v>
      </c>
      <c r="E19" s="327">
        <v>0.09</v>
      </c>
      <c r="F19" s="327">
        <v>0.28999999999999998</v>
      </c>
      <c r="G19" s="327">
        <v>0.09</v>
      </c>
      <c r="H19" s="327">
        <v>0.09</v>
      </c>
      <c r="I19" s="327">
        <v>0.08</v>
      </c>
      <c r="J19" s="327">
        <v>0.09</v>
      </c>
      <c r="K19" s="327">
        <v>0.09</v>
      </c>
      <c r="L19" s="327">
        <v>0.28999999999999998</v>
      </c>
      <c r="M19" s="327">
        <v>0.09</v>
      </c>
    </row>
    <row r="20" spans="1:17" s="27" customFormat="1" ht="15.4" x14ac:dyDescent="0.45">
      <c r="A20" s="30" t="s">
        <v>271</v>
      </c>
      <c r="B20" s="31" t="e">
        <f>#REF!</f>
        <v>#REF!</v>
      </c>
      <c r="C20" s="31" t="e">
        <f>#REF!</f>
        <v>#REF!</v>
      </c>
      <c r="D20" s="31" t="e">
        <f>#REF!</f>
        <v>#REF!</v>
      </c>
      <c r="E20" s="31" t="e">
        <f>#REF!</f>
        <v>#REF!</v>
      </c>
      <c r="F20" s="31" t="e">
        <f>#REF!</f>
        <v>#REF!</v>
      </c>
      <c r="G20" s="31" t="e">
        <f>#REF!</f>
        <v>#REF!</v>
      </c>
      <c r="H20" s="41" t="e">
        <f t="shared" ref="H20" si="27">B20*#REF!</f>
        <v>#REF!</v>
      </c>
      <c r="I20" s="41" t="e">
        <f t="shared" ref="I20" si="28">C20*#REF!</f>
        <v>#REF!</v>
      </c>
      <c r="J20" s="35" t="e">
        <f t="shared" ref="J20" si="29">D20*#REF!</f>
        <v>#REF!</v>
      </c>
      <c r="K20" s="35" t="e">
        <f t="shared" ref="K20" si="30">E20*#REF!</f>
        <v>#REF!</v>
      </c>
      <c r="L20" s="35" t="e">
        <f t="shared" ref="L20" si="31">F20*#REF!</f>
        <v>#REF!</v>
      </c>
      <c r="M20" s="35" t="e">
        <f t="shared" ref="M20" si="32">G20*#REF!</f>
        <v>#REF!</v>
      </c>
      <c r="N20" s="34" t="e">
        <f>SUM(H20:M20)</f>
        <v>#REF!</v>
      </c>
      <c r="O20" s="29"/>
      <c r="P20" s="29"/>
    </row>
    <row r="21" spans="1:17" s="27" customFormat="1" ht="30.75" x14ac:dyDescent="0.45">
      <c r="B21" s="31">
        <v>0.5</v>
      </c>
      <c r="C21" s="31">
        <v>1</v>
      </c>
      <c r="D21" s="31">
        <v>1</v>
      </c>
      <c r="E21" s="31">
        <v>1</v>
      </c>
      <c r="F21" s="31">
        <v>0.5</v>
      </c>
      <c r="G21" s="31">
        <v>0.25</v>
      </c>
      <c r="H21" s="35" t="e">
        <f t="shared" ref="H21:M21" si="33">B21*H20</f>
        <v>#REF!</v>
      </c>
      <c r="I21" s="35" t="e">
        <f t="shared" si="33"/>
        <v>#REF!</v>
      </c>
      <c r="J21" s="35" t="e">
        <f t="shared" si="33"/>
        <v>#REF!</v>
      </c>
      <c r="K21" s="35" t="e">
        <f t="shared" si="33"/>
        <v>#REF!</v>
      </c>
      <c r="L21" s="35" t="e">
        <f t="shared" si="33"/>
        <v>#REF!</v>
      </c>
      <c r="M21" s="35" t="e">
        <f t="shared" si="33"/>
        <v>#REF!</v>
      </c>
      <c r="N21" s="34" t="e">
        <f t="shared" ref="N21:N28" si="34">SUM(H21:M21)</f>
        <v>#REF!</v>
      </c>
      <c r="O21" s="36">
        <v>3375</v>
      </c>
      <c r="P21" s="37" t="s">
        <v>272</v>
      </c>
    </row>
    <row r="22" spans="1:17" s="27" customFormat="1" ht="15.4" x14ac:dyDescent="0.45">
      <c r="A22" s="28"/>
      <c r="B22" s="31">
        <v>0.5</v>
      </c>
      <c r="C22" s="31">
        <v>0</v>
      </c>
      <c r="D22" s="31">
        <v>0</v>
      </c>
      <c r="E22" s="31">
        <v>0</v>
      </c>
      <c r="F22" s="31">
        <v>0.5</v>
      </c>
      <c r="G22" s="31">
        <v>0.75</v>
      </c>
      <c r="H22" s="35" t="e">
        <f>B22*H20</f>
        <v>#REF!</v>
      </c>
      <c r="I22" s="35" t="e">
        <f>C22*I21</f>
        <v>#REF!</v>
      </c>
      <c r="J22" s="35" t="e">
        <f>D22*J20</f>
        <v>#REF!</v>
      </c>
      <c r="K22" s="35" t="e">
        <f>E22*K20</f>
        <v>#REF!</v>
      </c>
      <c r="L22" s="35" t="e">
        <f>F22*L20</f>
        <v>#REF!</v>
      </c>
      <c r="M22" s="35" t="e">
        <f>G22*M20</f>
        <v>#REF!</v>
      </c>
      <c r="N22" s="34" t="e">
        <f t="shared" si="34"/>
        <v>#REF!</v>
      </c>
      <c r="O22" s="36">
        <v>3369</v>
      </c>
      <c r="P22" s="37" t="s">
        <v>273</v>
      </c>
    </row>
    <row r="23" spans="1:17" s="27" customFormat="1" ht="15.4" x14ac:dyDescent="0.45">
      <c r="A23" s="30" t="s">
        <v>274</v>
      </c>
      <c r="B23" s="31" t="e">
        <f>1-B20-B26</f>
        <v>#REF!</v>
      </c>
      <c r="C23" s="31" t="e">
        <f t="shared" ref="C23:G23" si="35">1-C20-C26</f>
        <v>#REF!</v>
      </c>
      <c r="D23" s="31" t="e">
        <f t="shared" si="35"/>
        <v>#REF!</v>
      </c>
      <c r="E23" s="31" t="e">
        <f t="shared" si="35"/>
        <v>#REF!</v>
      </c>
      <c r="F23" s="31" t="e">
        <f t="shared" si="35"/>
        <v>#REF!</v>
      </c>
      <c r="G23" s="31" t="e">
        <f t="shared" si="35"/>
        <v>#REF!</v>
      </c>
      <c r="H23" s="41" t="e">
        <f t="shared" ref="H23" si="36">B23*#REF!</f>
        <v>#REF!</v>
      </c>
      <c r="I23" s="41" t="e">
        <f t="shared" ref="I23" si="37">C23*#REF!</f>
        <v>#REF!</v>
      </c>
      <c r="J23" s="41" t="e">
        <f t="shared" ref="J23" si="38">D23*#REF!</f>
        <v>#REF!</v>
      </c>
      <c r="K23" s="41" t="e">
        <f t="shared" ref="K23" si="39">E23*#REF!</f>
        <v>#REF!</v>
      </c>
      <c r="L23" s="41" t="e">
        <f t="shared" ref="L23" si="40">F23*#REF!</f>
        <v>#REF!</v>
      </c>
      <c r="M23" s="41" t="e">
        <f t="shared" ref="M23" si="41">G23*#REF!</f>
        <v>#REF!</v>
      </c>
      <c r="N23" s="34" t="e">
        <f t="shared" si="34"/>
        <v>#REF!</v>
      </c>
      <c r="O23" s="40"/>
      <c r="P23" s="40"/>
    </row>
    <row r="24" spans="1:17" s="27" customFormat="1" ht="15.4" x14ac:dyDescent="0.45">
      <c r="A24" s="28"/>
      <c r="B24" s="31">
        <v>0.5</v>
      </c>
      <c r="C24" s="31">
        <v>1</v>
      </c>
      <c r="D24" s="31">
        <v>1</v>
      </c>
      <c r="E24" s="31">
        <v>1</v>
      </c>
      <c r="F24" s="31">
        <v>0.75</v>
      </c>
      <c r="G24" s="31">
        <v>0</v>
      </c>
      <c r="H24" s="35" t="e">
        <f t="shared" ref="H24:M24" si="42">B24*H23</f>
        <v>#REF!</v>
      </c>
      <c r="I24" s="35" t="e">
        <f t="shared" si="42"/>
        <v>#REF!</v>
      </c>
      <c r="J24" s="35" t="e">
        <f t="shared" si="42"/>
        <v>#REF!</v>
      </c>
      <c r="K24" s="35" t="e">
        <f t="shared" si="42"/>
        <v>#REF!</v>
      </c>
      <c r="L24" s="35" t="e">
        <f t="shared" si="42"/>
        <v>#REF!</v>
      </c>
      <c r="M24" s="35" t="e">
        <f t="shared" si="42"/>
        <v>#REF!</v>
      </c>
      <c r="N24" s="34" t="e">
        <f t="shared" si="34"/>
        <v>#REF!</v>
      </c>
      <c r="O24" s="38">
        <v>3037</v>
      </c>
      <c r="P24" s="39" t="s">
        <v>280</v>
      </c>
    </row>
    <row r="25" spans="1:17" s="27" customFormat="1" ht="30.75" x14ac:dyDescent="0.45">
      <c r="A25" s="28"/>
      <c r="B25" s="31">
        <v>0.5</v>
      </c>
      <c r="C25" s="31">
        <v>0</v>
      </c>
      <c r="D25" s="31">
        <v>0</v>
      </c>
      <c r="E25" s="31">
        <v>0</v>
      </c>
      <c r="F25" s="31">
        <v>0.25</v>
      </c>
      <c r="G25" s="31">
        <v>1</v>
      </c>
      <c r="H25" s="35" t="e">
        <f t="shared" ref="H25:M25" si="43">B25*H23</f>
        <v>#REF!</v>
      </c>
      <c r="I25" s="35" t="e">
        <f t="shared" si="43"/>
        <v>#REF!</v>
      </c>
      <c r="J25" s="35" t="e">
        <f t="shared" si="43"/>
        <v>#REF!</v>
      </c>
      <c r="K25" s="35" t="e">
        <f t="shared" si="43"/>
        <v>#REF!</v>
      </c>
      <c r="L25" s="35" t="e">
        <f t="shared" si="43"/>
        <v>#REF!</v>
      </c>
      <c r="M25" s="35" t="e">
        <f t="shared" si="43"/>
        <v>#REF!</v>
      </c>
      <c r="N25" s="34" t="e">
        <f t="shared" si="34"/>
        <v>#REF!</v>
      </c>
      <c r="O25" s="36">
        <v>3323</v>
      </c>
      <c r="P25" s="37" t="s">
        <v>276</v>
      </c>
    </row>
    <row r="26" spans="1:17" s="27" customFormat="1" ht="15.4" x14ac:dyDescent="0.45">
      <c r="A26" s="30" t="s">
        <v>254</v>
      </c>
      <c r="B26" s="31">
        <v>0.23</v>
      </c>
      <c r="C26" s="31">
        <v>0.35</v>
      </c>
      <c r="D26" s="31">
        <v>0.14000000000000001</v>
      </c>
      <c r="E26" s="31">
        <v>0.14000000000000001</v>
      </c>
      <c r="F26" s="31">
        <v>0.12</v>
      </c>
      <c r="G26" s="31">
        <v>0.55000000000000004</v>
      </c>
      <c r="H26" s="41" t="e">
        <f t="shared" ref="H26" si="44">B26*#REF!</f>
        <v>#REF!</v>
      </c>
      <c r="I26" s="41" t="e">
        <f t="shared" ref="I26" si="45">C26*#REF!</f>
        <v>#REF!</v>
      </c>
      <c r="J26" s="41" t="e">
        <f t="shared" ref="J26" si="46">D26*#REF!</f>
        <v>#REF!</v>
      </c>
      <c r="K26" s="41" t="e">
        <f t="shared" ref="K26" si="47">E26*#REF!</f>
        <v>#REF!</v>
      </c>
      <c r="L26" s="41" t="e">
        <f t="shared" ref="L26" si="48">F26*#REF!</f>
        <v>#REF!</v>
      </c>
      <c r="M26" s="41" t="e">
        <f t="shared" ref="M26" si="49">G26*#REF!</f>
        <v>#REF!</v>
      </c>
      <c r="N26" s="34" t="e">
        <f t="shared" si="34"/>
        <v>#REF!</v>
      </c>
      <c r="O26" s="40"/>
      <c r="P26" s="40"/>
    </row>
    <row r="27" spans="1:17" s="27" customFormat="1" ht="30.75" x14ac:dyDescent="0.45">
      <c r="A27" s="28"/>
      <c r="B27" s="31">
        <v>0.5</v>
      </c>
      <c r="C27" s="31">
        <v>0.5</v>
      </c>
      <c r="D27" s="31">
        <v>0</v>
      </c>
      <c r="E27" s="31">
        <v>0</v>
      </c>
      <c r="F27" s="31">
        <v>0.25</v>
      </c>
      <c r="G27" s="31">
        <v>0.75</v>
      </c>
      <c r="H27" s="35" t="e">
        <f t="shared" ref="H27:M27" si="50">B27*H26</f>
        <v>#REF!</v>
      </c>
      <c r="I27" s="35" t="e">
        <f t="shared" si="50"/>
        <v>#REF!</v>
      </c>
      <c r="J27" s="35" t="e">
        <f t="shared" si="50"/>
        <v>#REF!</v>
      </c>
      <c r="K27" s="35" t="e">
        <f t="shared" si="50"/>
        <v>#REF!</v>
      </c>
      <c r="L27" s="35" t="e">
        <f t="shared" si="50"/>
        <v>#REF!</v>
      </c>
      <c r="M27" s="35" t="e">
        <f t="shared" si="50"/>
        <v>#REF!</v>
      </c>
      <c r="N27" s="34" t="e">
        <f t="shared" si="34"/>
        <v>#REF!</v>
      </c>
      <c r="O27" s="38">
        <v>3388</v>
      </c>
      <c r="P27" s="39" t="s">
        <v>277</v>
      </c>
    </row>
    <row r="28" spans="1:17" s="27" customFormat="1" ht="30.75" x14ac:dyDescent="0.45">
      <c r="A28" s="28"/>
      <c r="B28" s="31">
        <v>0.5</v>
      </c>
      <c r="C28" s="31">
        <v>0.5</v>
      </c>
      <c r="D28" s="31">
        <v>1</v>
      </c>
      <c r="E28" s="31">
        <v>1</v>
      </c>
      <c r="F28" s="31">
        <v>0.75</v>
      </c>
      <c r="G28" s="31">
        <v>0.25</v>
      </c>
      <c r="H28" s="35" t="e">
        <f>B28*H26</f>
        <v>#REF!</v>
      </c>
      <c r="I28" s="35" t="e">
        <f>C28*I26</f>
        <v>#REF!</v>
      </c>
      <c r="J28" s="41" t="e">
        <f>D28*J27</f>
        <v>#REF!</v>
      </c>
      <c r="K28" s="41" t="e">
        <f>E28*K27</f>
        <v>#REF!</v>
      </c>
      <c r="L28" s="41" t="e">
        <f>F28*L27</f>
        <v>#REF!</v>
      </c>
      <c r="M28" s="41" t="e">
        <f>G28*M27</f>
        <v>#REF!</v>
      </c>
      <c r="N28" s="34" t="e">
        <f t="shared" si="34"/>
        <v>#REF!</v>
      </c>
      <c r="O28" s="38">
        <v>3040</v>
      </c>
      <c r="P28" s="39" t="s">
        <v>281</v>
      </c>
    </row>
    <row r="29" spans="1:17" s="27" customFormat="1" ht="15.4" x14ac:dyDescent="0.45">
      <c r="A29" s="30" t="s">
        <v>269</v>
      </c>
      <c r="B29" s="31">
        <v>1</v>
      </c>
      <c r="C29" s="31">
        <v>1</v>
      </c>
      <c r="D29" s="31">
        <v>1</v>
      </c>
      <c r="E29" s="31">
        <v>1</v>
      </c>
      <c r="F29" s="31">
        <v>1</v>
      </c>
      <c r="G29" s="31">
        <v>1</v>
      </c>
      <c r="H29" s="35" t="e">
        <f t="shared" ref="H29:N29" si="51">H28+H27+H25+H24+H22+H21</f>
        <v>#REF!</v>
      </c>
      <c r="I29" s="35" t="e">
        <f t="shared" si="51"/>
        <v>#REF!</v>
      </c>
      <c r="J29" s="35" t="e">
        <f t="shared" si="51"/>
        <v>#REF!</v>
      </c>
      <c r="K29" s="35" t="e">
        <f t="shared" si="51"/>
        <v>#REF!</v>
      </c>
      <c r="L29" s="35" t="e">
        <f t="shared" si="51"/>
        <v>#REF!</v>
      </c>
      <c r="M29" s="35" t="e">
        <f t="shared" si="51"/>
        <v>#REF!</v>
      </c>
      <c r="N29" s="35" t="e">
        <f t="shared" si="51"/>
        <v>#REF!</v>
      </c>
      <c r="O29" s="42" t="e">
        <f>#REF!-N29</f>
        <v>#REF!</v>
      </c>
      <c r="P29" s="40"/>
    </row>
  </sheetData>
  <mergeCells count="17">
    <mergeCell ref="A3:Q3"/>
    <mergeCell ref="A4:A5"/>
    <mergeCell ref="A16:Q16"/>
    <mergeCell ref="A17:Q17"/>
    <mergeCell ref="A18:A19"/>
    <mergeCell ref="B18:B19"/>
    <mergeCell ref="C18:C19"/>
    <mergeCell ref="D18:D19"/>
    <mergeCell ref="E18:E19"/>
    <mergeCell ref="L18:L19"/>
    <mergeCell ref="M18:M19"/>
    <mergeCell ref="F18:F19"/>
    <mergeCell ref="G18:G19"/>
    <mergeCell ref="H18:H19"/>
    <mergeCell ref="I18:I19"/>
    <mergeCell ref="J18:J19"/>
    <mergeCell ref="K18:K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1"/>
    </sheetView>
  </sheetViews>
  <sheetFormatPr defaultRowHeight="14.25" x14ac:dyDescent="0.4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sqref="A1:D1"/>
    </sheetView>
  </sheetViews>
  <sheetFormatPr defaultColWidth="9.1328125" defaultRowHeight="14.25" x14ac:dyDescent="0.45"/>
  <cols>
    <col min="1" max="1" width="10.86328125" style="21" bestFit="1" customWidth="1"/>
    <col min="2" max="2" width="85.59765625" style="21" bestFit="1" customWidth="1"/>
    <col min="3" max="16384" width="9.1328125" style="21"/>
  </cols>
  <sheetData>
    <row r="1" spans="1:2" x14ac:dyDescent="0.45">
      <c r="A1" s="22" t="s">
        <v>0</v>
      </c>
      <c r="B1" s="22" t="s">
        <v>225</v>
      </c>
    </row>
    <row r="2" spans="1:2" x14ac:dyDescent="0.45">
      <c r="A2" s="21" t="s">
        <v>100</v>
      </c>
      <c r="B2" s="21" t="s">
        <v>251</v>
      </c>
    </row>
    <row r="3" spans="1:2" x14ac:dyDescent="0.45">
      <c r="A3" s="21" t="s">
        <v>100</v>
      </c>
      <c r="B3" s="21" t="s">
        <v>107</v>
      </c>
    </row>
    <row r="4" spans="1:2" x14ac:dyDescent="0.45">
      <c r="A4" s="21" t="s">
        <v>100</v>
      </c>
      <c r="B4" s="21" t="s">
        <v>244</v>
      </c>
    </row>
    <row r="5" spans="1:2" x14ac:dyDescent="0.45">
      <c r="A5" s="21" t="s">
        <v>100</v>
      </c>
      <c r="B5" s="21" t="s">
        <v>117</v>
      </c>
    </row>
    <row r="6" spans="1:2" x14ac:dyDescent="0.45">
      <c r="A6" s="21" t="s">
        <v>100</v>
      </c>
      <c r="B6" s="21" t="s">
        <v>119</v>
      </c>
    </row>
    <row r="7" spans="1:2" x14ac:dyDescent="0.45">
      <c r="A7" s="21" t="s">
        <v>100</v>
      </c>
      <c r="B7" s="21" t="s">
        <v>236</v>
      </c>
    </row>
    <row r="8" spans="1:2" x14ac:dyDescent="0.45">
      <c r="A8" s="21" t="s">
        <v>100</v>
      </c>
      <c r="B8" s="21" t="s">
        <v>245</v>
      </c>
    </row>
    <row r="9" spans="1:2" x14ac:dyDescent="0.45">
      <c r="A9" s="21" t="s">
        <v>100</v>
      </c>
      <c r="B9" s="21" t="s">
        <v>250</v>
      </c>
    </row>
    <row r="10" spans="1:2" x14ac:dyDescent="0.45">
      <c r="A10" s="21" t="s">
        <v>100</v>
      </c>
      <c r="B10" s="21" t="s">
        <v>121</v>
      </c>
    </row>
    <row r="11" spans="1:2" x14ac:dyDescent="0.45">
      <c r="A11" s="21" t="s">
        <v>100</v>
      </c>
      <c r="B11" s="21" t="s">
        <v>248</v>
      </c>
    </row>
    <row r="12" spans="1:2" x14ac:dyDescent="0.45">
      <c r="A12" s="21" t="s">
        <v>100</v>
      </c>
      <c r="B12" s="21" t="s">
        <v>239</v>
      </c>
    </row>
    <row r="13" spans="1:2" x14ac:dyDescent="0.45">
      <c r="A13" s="21" t="s">
        <v>100</v>
      </c>
      <c r="B13" s="21" t="s">
        <v>124</v>
      </c>
    </row>
    <row r="14" spans="1:2" x14ac:dyDescent="0.45">
      <c r="A14" s="21" t="s">
        <v>100</v>
      </c>
      <c r="B14" s="21" t="s">
        <v>126</v>
      </c>
    </row>
    <row r="15" spans="1:2" x14ac:dyDescent="0.45">
      <c r="A15" s="21" t="s">
        <v>100</v>
      </c>
      <c r="B15" s="21" t="s">
        <v>238</v>
      </c>
    </row>
    <row r="16" spans="1:2" x14ac:dyDescent="0.45">
      <c r="A16" s="21" t="s">
        <v>100</v>
      </c>
      <c r="B16" s="21" t="s">
        <v>243</v>
      </c>
    </row>
    <row r="17" spans="1:2" x14ac:dyDescent="0.45">
      <c r="A17" s="21" t="s">
        <v>100</v>
      </c>
      <c r="B17" s="21" t="s">
        <v>242</v>
      </c>
    </row>
    <row r="18" spans="1:2" x14ac:dyDescent="0.45">
      <c r="A18" s="21" t="s">
        <v>100</v>
      </c>
      <c r="B18" s="21" t="s">
        <v>129</v>
      </c>
    </row>
    <row r="19" spans="1:2" x14ac:dyDescent="0.45">
      <c r="A19" s="21" t="s">
        <v>100</v>
      </c>
      <c r="B19" s="21" t="s">
        <v>131</v>
      </c>
    </row>
    <row r="20" spans="1:2" x14ac:dyDescent="0.45">
      <c r="A20" s="21" t="s">
        <v>100</v>
      </c>
      <c r="B20" s="21" t="s">
        <v>134</v>
      </c>
    </row>
    <row r="21" spans="1:2" x14ac:dyDescent="0.45">
      <c r="A21" s="21" t="s">
        <v>100</v>
      </c>
      <c r="B21" s="21" t="s">
        <v>247</v>
      </c>
    </row>
    <row r="22" spans="1:2" x14ac:dyDescent="0.45">
      <c r="A22" s="21" t="s">
        <v>100</v>
      </c>
      <c r="B22" s="21" t="s">
        <v>249</v>
      </c>
    </row>
    <row r="23" spans="1:2" x14ac:dyDescent="0.45">
      <c r="A23" s="21" t="s">
        <v>100</v>
      </c>
      <c r="B23" s="21" t="s">
        <v>137</v>
      </c>
    </row>
    <row r="24" spans="1:2" x14ac:dyDescent="0.45">
      <c r="A24" s="21" t="s">
        <v>19</v>
      </c>
      <c r="B24" s="21" t="s">
        <v>47</v>
      </c>
    </row>
    <row r="25" spans="1:2" x14ac:dyDescent="0.45">
      <c r="A25" s="21" t="s">
        <v>19</v>
      </c>
      <c r="B25" s="21" t="s">
        <v>53</v>
      </c>
    </row>
    <row r="26" spans="1:2" x14ac:dyDescent="0.45">
      <c r="A26" s="21" t="s">
        <v>19</v>
      </c>
      <c r="B26" s="21" t="s">
        <v>66</v>
      </c>
    </row>
    <row r="27" spans="1:2" x14ac:dyDescent="0.45">
      <c r="A27" s="21" t="s">
        <v>19</v>
      </c>
      <c r="B27" s="21" t="s">
        <v>83</v>
      </c>
    </row>
    <row r="28" spans="1:2" x14ac:dyDescent="0.45">
      <c r="A28" s="21" t="s">
        <v>19</v>
      </c>
      <c r="B28" s="21" t="s">
        <v>85</v>
      </c>
    </row>
    <row r="29" spans="1:2" x14ac:dyDescent="0.45">
      <c r="A29" s="21" t="s">
        <v>19</v>
      </c>
      <c r="B29" s="21" t="s">
        <v>235</v>
      </c>
    </row>
    <row r="30" spans="1:2" x14ac:dyDescent="0.45">
      <c r="A30" s="21" t="s">
        <v>19</v>
      </c>
      <c r="B30" s="21" t="s">
        <v>90</v>
      </c>
    </row>
    <row r="31" spans="1:2" x14ac:dyDescent="0.45">
      <c r="A31" s="21" t="s">
        <v>19</v>
      </c>
      <c r="B31" s="21" t="s">
        <v>232</v>
      </c>
    </row>
  </sheetData>
  <printOptions gridLines="1"/>
  <pageMargins left="0.7" right="0.7" top="0.75" bottom="0.75" header="0.3" footer="0.3"/>
  <pageSetup scale="9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3"/>
  <sheetViews>
    <sheetView workbookViewId="0">
      <selection activeCell="A3" sqref="A3:E4"/>
    </sheetView>
  </sheetViews>
  <sheetFormatPr defaultColWidth="45.59765625" defaultRowHeight="14.25" x14ac:dyDescent="0.45"/>
  <cols>
    <col min="1" max="1" width="63" style="221" customWidth="1"/>
    <col min="2" max="2" width="21" style="221" customWidth="1"/>
    <col min="3" max="3" width="21.1328125" style="221" hidden="1" customWidth="1"/>
    <col min="4" max="4" width="25.1328125" style="221" customWidth="1"/>
    <col min="5" max="5" width="34.265625" style="221" bestFit="1" customWidth="1"/>
    <col min="6" max="9" width="0" style="221" hidden="1" customWidth="1"/>
    <col min="10" max="16384" width="45.59765625" style="221"/>
  </cols>
  <sheetData>
    <row r="3" spans="1:6" ht="36" customHeight="1" x14ac:dyDescent="0.55000000000000004">
      <c r="A3" s="244" t="s">
        <v>453</v>
      </c>
      <c r="B3" s="244"/>
      <c r="C3" s="244"/>
      <c r="D3" s="244"/>
      <c r="E3" s="244"/>
      <c r="F3" s="220"/>
    </row>
    <row r="4" spans="1:6" x14ac:dyDescent="0.45">
      <c r="A4" s="244"/>
      <c r="B4" s="244"/>
      <c r="C4" s="244"/>
      <c r="D4" s="244"/>
      <c r="E4" s="244"/>
    </row>
    <row r="5" spans="1:6" x14ac:dyDescent="0.45">
      <c r="E5" s="222" t="s">
        <v>430</v>
      </c>
    </row>
    <row r="6" spans="1:6" ht="15" customHeight="1" x14ac:dyDescent="0.45">
      <c r="A6" s="237" t="s">
        <v>404</v>
      </c>
      <c r="B6" s="209">
        <v>200</v>
      </c>
    </row>
    <row r="8" spans="1:6" x14ac:dyDescent="0.45">
      <c r="A8" s="245" t="s">
        <v>405</v>
      </c>
      <c r="B8" s="247" t="s">
        <v>406</v>
      </c>
      <c r="C8" s="247" t="s">
        <v>407</v>
      </c>
      <c r="D8" s="247" t="s">
        <v>431</v>
      </c>
      <c r="E8" s="248" t="s">
        <v>402</v>
      </c>
    </row>
    <row r="9" spans="1:6" ht="24.75" customHeight="1" x14ac:dyDescent="0.45">
      <c r="A9" s="246"/>
      <c r="B9" s="247"/>
      <c r="C9" s="247"/>
      <c r="D9" s="247"/>
      <c r="E9" s="248"/>
      <c r="F9" s="221" t="s">
        <v>418</v>
      </c>
    </row>
    <row r="10" spans="1:6" x14ac:dyDescent="0.45">
      <c r="A10" s="219" t="s">
        <v>107</v>
      </c>
      <c r="B10" s="210" t="s">
        <v>241</v>
      </c>
      <c r="C10" s="230">
        <v>216</v>
      </c>
      <c r="D10" s="210">
        <v>2E-3</v>
      </c>
      <c r="E10" s="232">
        <f t="shared" ref="E10:E20" si="0">D10*$B$6</f>
        <v>0.4</v>
      </c>
      <c r="F10" s="70">
        <v>25</v>
      </c>
    </row>
    <row r="11" spans="1:6" x14ac:dyDescent="0.45">
      <c r="A11" s="219" t="s">
        <v>117</v>
      </c>
      <c r="B11" s="210" t="s">
        <v>241</v>
      </c>
      <c r="C11" s="230">
        <v>170</v>
      </c>
      <c r="D11" s="210">
        <v>2E-3</v>
      </c>
      <c r="E11" s="232">
        <f t="shared" si="0"/>
        <v>0.4</v>
      </c>
      <c r="F11" s="70">
        <v>50</v>
      </c>
    </row>
    <row r="12" spans="1:6" x14ac:dyDescent="0.45">
      <c r="A12" s="219" t="s">
        <v>119</v>
      </c>
      <c r="B12" s="210" t="s">
        <v>241</v>
      </c>
      <c r="C12" s="230">
        <v>67</v>
      </c>
      <c r="D12" s="210">
        <v>1E-3</v>
      </c>
      <c r="E12" s="232">
        <f t="shared" si="0"/>
        <v>0.2</v>
      </c>
      <c r="F12" s="70">
        <v>50</v>
      </c>
    </row>
    <row r="13" spans="1:6" x14ac:dyDescent="0.45">
      <c r="A13" s="219" t="s">
        <v>256</v>
      </c>
      <c r="B13" s="210" t="s">
        <v>231</v>
      </c>
      <c r="C13" s="230">
        <v>430.69</v>
      </c>
      <c r="D13" s="210">
        <v>3.0000000000000001E-3</v>
      </c>
      <c r="E13" s="232">
        <f t="shared" si="0"/>
        <v>0.6</v>
      </c>
      <c r="F13" s="70">
        <v>20</v>
      </c>
    </row>
    <row r="14" spans="1:6" x14ac:dyDescent="0.45">
      <c r="A14" s="219" t="s">
        <v>124</v>
      </c>
      <c r="B14" s="210" t="s">
        <v>241</v>
      </c>
      <c r="C14" s="230">
        <v>773</v>
      </c>
      <c r="D14" s="210">
        <v>9.0000000000000011E-3</v>
      </c>
      <c r="E14" s="232">
        <f t="shared" si="0"/>
        <v>1.8000000000000003</v>
      </c>
      <c r="F14" s="70">
        <v>25</v>
      </c>
    </row>
    <row r="15" spans="1:6" x14ac:dyDescent="0.45">
      <c r="A15" s="219" t="s">
        <v>126</v>
      </c>
      <c r="B15" s="210" t="s">
        <v>231</v>
      </c>
      <c r="C15" s="230">
        <v>50</v>
      </c>
      <c r="D15" s="210">
        <v>5.0000000000000001E-4</v>
      </c>
      <c r="E15" s="232">
        <f t="shared" si="0"/>
        <v>0.1</v>
      </c>
      <c r="F15" s="70">
        <v>75</v>
      </c>
    </row>
    <row r="16" spans="1:6" x14ac:dyDescent="0.45">
      <c r="A16" s="219" t="s">
        <v>242</v>
      </c>
      <c r="B16" s="210" t="s">
        <v>241</v>
      </c>
      <c r="C16" s="230">
        <v>345</v>
      </c>
      <c r="D16" s="210">
        <v>4.0000000000000001E-3</v>
      </c>
      <c r="E16" s="232">
        <f t="shared" si="0"/>
        <v>0.8</v>
      </c>
      <c r="F16" s="70">
        <v>50</v>
      </c>
    </row>
    <row r="17" spans="1:6" x14ac:dyDescent="0.45">
      <c r="A17" s="219" t="s">
        <v>131</v>
      </c>
      <c r="B17" s="210" t="s">
        <v>233</v>
      </c>
      <c r="C17" s="230">
        <v>8.6</v>
      </c>
      <c r="D17" s="210">
        <v>1E-4</v>
      </c>
      <c r="E17" s="232">
        <f t="shared" si="0"/>
        <v>0.02</v>
      </c>
      <c r="F17" s="70">
        <v>20</v>
      </c>
    </row>
    <row r="18" spans="1:6" x14ac:dyDescent="0.45">
      <c r="A18" s="219" t="s">
        <v>134</v>
      </c>
      <c r="B18" s="210" t="s">
        <v>231</v>
      </c>
      <c r="C18" s="230">
        <v>50</v>
      </c>
      <c r="D18" s="210">
        <v>5.0000000000000001E-4</v>
      </c>
      <c r="E18" s="232">
        <f t="shared" si="0"/>
        <v>0.1</v>
      </c>
      <c r="F18" s="70">
        <v>75</v>
      </c>
    </row>
    <row r="19" spans="1:6" x14ac:dyDescent="0.45">
      <c r="A19" s="219" t="s">
        <v>247</v>
      </c>
      <c r="B19" s="210" t="s">
        <v>241</v>
      </c>
      <c r="C19" s="230">
        <v>314</v>
      </c>
      <c r="D19" s="210">
        <v>6.0000000000000001E-3</v>
      </c>
      <c r="E19" s="232">
        <f t="shared" si="0"/>
        <v>1.2</v>
      </c>
      <c r="F19" s="70">
        <v>20</v>
      </c>
    </row>
    <row r="20" spans="1:6" x14ac:dyDescent="0.45">
      <c r="A20" s="219" t="s">
        <v>137</v>
      </c>
      <c r="B20" s="210" t="s">
        <v>241</v>
      </c>
      <c r="C20" s="230">
        <v>106</v>
      </c>
      <c r="D20" s="210">
        <v>2E-3</v>
      </c>
      <c r="E20" s="232">
        <f t="shared" si="0"/>
        <v>0.4</v>
      </c>
      <c r="F20" s="70">
        <v>50</v>
      </c>
    </row>
    <row r="23" spans="1:6" x14ac:dyDescent="0.45">
      <c r="A23" s="238" t="s">
        <v>432</v>
      </c>
    </row>
  </sheetData>
  <sheetProtection selectLockedCells="1"/>
  <mergeCells count="6">
    <mergeCell ref="A3:E4"/>
    <mergeCell ref="A8:A9"/>
    <mergeCell ref="B8:B9"/>
    <mergeCell ref="C8:C9"/>
    <mergeCell ref="D8:D9"/>
    <mergeCell ref="E8:E9"/>
  </mergeCells>
  <conditionalFormatting sqref="E10:E20">
    <cfRule type="dataBar" priority="1">
      <dataBar>
        <cfvo type="min"/>
        <cfvo type="max"/>
        <color rgb="FF63C384"/>
      </dataBar>
      <extLst>
        <ext xmlns:x14="http://schemas.microsoft.com/office/spreadsheetml/2009/9/main" uri="{B025F937-C7B1-47D3-B67F-A62EFF666E3E}">
          <x14:id>{E3B77D29-EFDD-4F28-99F3-4057A5C308DE}</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E3B77D29-EFDD-4F28-99F3-4057A5C308DE}">
            <x14:dataBar minLength="0" maxLength="100" gradient="0">
              <x14:cfvo type="autoMin"/>
              <x14:cfvo type="autoMax"/>
              <x14:negativeFillColor rgb="FFFF0000"/>
              <x14:axisColor rgb="FF000000"/>
            </x14:dataBar>
          </x14:cfRule>
          <xm:sqref>E10:E20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sqref="A1:D1"/>
    </sheetView>
  </sheetViews>
  <sheetFormatPr defaultRowHeight="14.25" x14ac:dyDescent="0.45"/>
  <cols>
    <col min="1" max="1" width="11.1328125" bestFit="1" customWidth="1"/>
    <col min="2" max="2" width="17.59765625" customWidth="1"/>
    <col min="3" max="3" width="9" bestFit="1" customWidth="1"/>
    <col min="4" max="4" width="7.59765625" bestFit="1" customWidth="1"/>
    <col min="6" max="6" width="9.265625" customWidth="1"/>
    <col min="7" max="7" width="46.86328125" bestFit="1" customWidth="1"/>
    <col min="8" max="8" width="22.1328125" bestFit="1" customWidth="1"/>
    <col min="9" max="9" width="16" customWidth="1"/>
    <col min="10" max="10" width="11.1328125" bestFit="1" customWidth="1"/>
    <col min="11" max="11" width="8.59765625" bestFit="1" customWidth="1"/>
    <col min="12" max="12" width="7.59765625" bestFit="1" customWidth="1"/>
    <col min="14" max="14" width="11.1328125" bestFit="1" customWidth="1"/>
    <col min="15" max="15" width="20.3984375" bestFit="1" customWidth="1"/>
    <col min="19" max="19" width="13.1328125" bestFit="1" customWidth="1"/>
  </cols>
  <sheetData>
    <row r="1" spans="1:18" x14ac:dyDescent="0.45">
      <c r="A1" s="329" t="s">
        <v>229</v>
      </c>
      <c r="B1" s="329"/>
      <c r="C1" s="329"/>
      <c r="D1" s="329"/>
      <c r="F1" s="329" t="s">
        <v>226</v>
      </c>
      <c r="G1" s="329"/>
      <c r="H1" s="329"/>
      <c r="I1" s="329"/>
      <c r="J1" s="329"/>
      <c r="K1" s="329"/>
    </row>
    <row r="2" spans="1:18" s="8" customFormat="1" ht="32.25" customHeight="1" x14ac:dyDescent="0.45">
      <c r="A2" s="7" t="s">
        <v>0</v>
      </c>
      <c r="B2" s="7" t="s">
        <v>197</v>
      </c>
      <c r="C2" s="14" t="s">
        <v>16</v>
      </c>
      <c r="D2" s="14" t="s">
        <v>17</v>
      </c>
      <c r="F2" s="9" t="s">
        <v>0</v>
      </c>
      <c r="G2" s="9" t="s">
        <v>225</v>
      </c>
      <c r="H2" s="9" t="s">
        <v>2</v>
      </c>
      <c r="I2" s="9" t="s">
        <v>13</v>
      </c>
      <c r="J2" s="17" t="s">
        <v>16</v>
      </c>
      <c r="K2" s="17" t="s">
        <v>17</v>
      </c>
      <c r="R2" s="7" t="s">
        <v>198</v>
      </c>
    </row>
    <row r="3" spans="1:18" x14ac:dyDescent="0.45">
      <c r="A3" t="s">
        <v>196</v>
      </c>
      <c r="B3" s="3">
        <v>15504168</v>
      </c>
      <c r="C3" s="15">
        <v>76863.44</v>
      </c>
      <c r="D3" s="15">
        <v>1110</v>
      </c>
      <c r="F3" s="5" t="s">
        <v>196</v>
      </c>
      <c r="G3" s="5" t="s">
        <v>47</v>
      </c>
      <c r="H3" s="5" t="s">
        <v>205</v>
      </c>
      <c r="I3" s="6">
        <v>1848613.6600000001</v>
      </c>
      <c r="J3" s="18">
        <v>4098</v>
      </c>
      <c r="K3" s="18">
        <v>354</v>
      </c>
      <c r="R3">
        <v>295</v>
      </c>
    </row>
    <row r="4" spans="1:18" x14ac:dyDescent="0.45">
      <c r="A4" t="s">
        <v>92</v>
      </c>
      <c r="B4">
        <v>88334</v>
      </c>
      <c r="C4" s="15">
        <v>10.39</v>
      </c>
      <c r="D4" s="15">
        <v>64.010000000000005</v>
      </c>
      <c r="F4" s="5" t="s">
        <v>196</v>
      </c>
      <c r="G4" s="5" t="s">
        <v>206</v>
      </c>
      <c r="H4" s="5" t="s">
        <v>207</v>
      </c>
      <c r="I4" s="6">
        <v>66601.89</v>
      </c>
      <c r="J4" s="18">
        <v>683</v>
      </c>
      <c r="K4" s="18">
        <v>59</v>
      </c>
    </row>
    <row r="5" spans="1:18" x14ac:dyDescent="0.45">
      <c r="A5" t="s">
        <v>100</v>
      </c>
      <c r="B5">
        <v>9381779</v>
      </c>
      <c r="C5" s="15">
        <v>370080</v>
      </c>
      <c r="D5" s="15">
        <v>9016</v>
      </c>
      <c r="F5" s="5" t="s">
        <v>196</v>
      </c>
      <c r="G5" s="5" t="s">
        <v>209</v>
      </c>
      <c r="H5" s="5" t="s">
        <v>210</v>
      </c>
      <c r="I5" s="6">
        <v>1190132.1399999999</v>
      </c>
      <c r="J5" s="18">
        <v>1300</v>
      </c>
      <c r="K5" s="18">
        <v>295.14999999999998</v>
      </c>
      <c r="R5">
        <v>23550</v>
      </c>
    </row>
    <row r="6" spans="1:18" x14ac:dyDescent="0.45">
      <c r="A6" t="s">
        <v>195</v>
      </c>
      <c r="B6" s="3">
        <f>SUM(B3:B5)</f>
        <v>24974281</v>
      </c>
      <c r="C6" s="16">
        <f>SUM(C3:C5)</f>
        <v>446953.83</v>
      </c>
      <c r="D6" s="16">
        <f>SUM(D3:D5)</f>
        <v>10190.01</v>
      </c>
      <c r="F6" s="5" t="s">
        <v>196</v>
      </c>
      <c r="G6" s="5" t="s">
        <v>211</v>
      </c>
      <c r="H6" s="5" t="s">
        <v>212</v>
      </c>
      <c r="I6" s="6">
        <v>24731.599999999999</v>
      </c>
      <c r="J6" s="18">
        <v>260</v>
      </c>
      <c r="K6" s="18">
        <v>59.03</v>
      </c>
      <c r="R6" s="3">
        <f>SUM(R3:R5)</f>
        <v>23845</v>
      </c>
    </row>
    <row r="7" spans="1:18" x14ac:dyDescent="0.45">
      <c r="F7" s="5" t="s">
        <v>196</v>
      </c>
      <c r="G7" s="5" t="s">
        <v>66</v>
      </c>
      <c r="H7" s="5" t="s">
        <v>213</v>
      </c>
      <c r="I7" s="6">
        <v>34600</v>
      </c>
      <c r="J7" s="18">
        <v>172.3</v>
      </c>
      <c r="K7" s="18">
        <v>0</v>
      </c>
    </row>
    <row r="8" spans="1:18" x14ac:dyDescent="0.45">
      <c r="F8" s="5" t="s">
        <v>196</v>
      </c>
      <c r="G8" s="5" t="s">
        <v>90</v>
      </c>
      <c r="H8" s="5" t="s">
        <v>216</v>
      </c>
      <c r="I8" s="6">
        <v>12714.76</v>
      </c>
      <c r="J8" s="18">
        <v>5210</v>
      </c>
      <c r="K8" s="18">
        <v>0</v>
      </c>
    </row>
    <row r="9" spans="1:18" x14ac:dyDescent="0.45">
      <c r="F9" s="5" t="s">
        <v>100</v>
      </c>
      <c r="G9" s="5" t="s">
        <v>199</v>
      </c>
      <c r="H9" s="5" t="s">
        <v>200</v>
      </c>
      <c r="I9" s="6">
        <v>7051760.1599999992</v>
      </c>
      <c r="J9" s="18">
        <v>85158</v>
      </c>
      <c r="K9" s="18">
        <v>1296</v>
      </c>
    </row>
    <row r="10" spans="1:18" x14ac:dyDescent="0.45">
      <c r="F10" s="5" t="s">
        <v>100</v>
      </c>
      <c r="G10" s="5" t="s">
        <v>117</v>
      </c>
      <c r="H10" s="5" t="s">
        <v>201</v>
      </c>
      <c r="I10" s="6">
        <v>427163.98</v>
      </c>
      <c r="J10" s="18">
        <v>63600</v>
      </c>
      <c r="K10" s="18">
        <v>1020</v>
      </c>
    </row>
    <row r="11" spans="1:18" x14ac:dyDescent="0.45">
      <c r="F11" s="5" t="s">
        <v>100</v>
      </c>
      <c r="G11" s="5" t="s">
        <v>202</v>
      </c>
      <c r="H11" s="5" t="s">
        <v>203</v>
      </c>
      <c r="I11" s="6">
        <v>79880.540000000008</v>
      </c>
      <c r="J11" s="18">
        <v>28458</v>
      </c>
      <c r="K11" s="18">
        <v>402</v>
      </c>
    </row>
    <row r="12" spans="1:18" x14ac:dyDescent="0.45">
      <c r="F12" s="5" t="s">
        <v>100</v>
      </c>
      <c r="G12" s="5" t="s">
        <v>124</v>
      </c>
      <c r="H12" s="5" t="s">
        <v>204</v>
      </c>
      <c r="I12" s="6">
        <v>20146.13</v>
      </c>
      <c r="J12" s="18">
        <v>120126</v>
      </c>
      <c r="K12" s="18">
        <v>4638</v>
      </c>
    </row>
    <row r="13" spans="1:18" x14ac:dyDescent="0.45">
      <c r="F13" s="5" t="s">
        <v>100</v>
      </c>
      <c r="G13" s="5" t="s">
        <v>126</v>
      </c>
      <c r="H13" s="5" t="s">
        <v>208</v>
      </c>
      <c r="I13" s="6">
        <v>68465.06</v>
      </c>
      <c r="J13" s="18">
        <v>1366.76</v>
      </c>
      <c r="K13" s="18">
        <v>0</v>
      </c>
    </row>
    <row r="14" spans="1:18" x14ac:dyDescent="0.45">
      <c r="F14" s="5" t="s">
        <v>100</v>
      </c>
      <c r="G14" s="5" t="s">
        <v>214</v>
      </c>
      <c r="H14" s="5" t="s">
        <v>215</v>
      </c>
      <c r="I14" s="6">
        <v>1037886.6</v>
      </c>
      <c r="J14" s="18">
        <v>12098</v>
      </c>
      <c r="K14" s="18">
        <v>861.38</v>
      </c>
    </row>
    <row r="15" spans="1:18" x14ac:dyDescent="0.45">
      <c r="F15" s="5" t="s">
        <v>100</v>
      </c>
      <c r="G15" s="5" t="s">
        <v>217</v>
      </c>
      <c r="H15" s="5" t="s">
        <v>218</v>
      </c>
      <c r="I15" s="6">
        <v>127056.86</v>
      </c>
      <c r="J15" s="18">
        <v>157.5</v>
      </c>
      <c r="K15" s="18">
        <v>0</v>
      </c>
    </row>
    <row r="16" spans="1:18" x14ac:dyDescent="0.45">
      <c r="F16" s="5" t="s">
        <v>100</v>
      </c>
      <c r="G16" s="5" t="s">
        <v>219</v>
      </c>
      <c r="H16" s="5" t="s">
        <v>220</v>
      </c>
      <c r="I16" s="6">
        <v>47129.2</v>
      </c>
      <c r="J16" s="18">
        <v>1042</v>
      </c>
      <c r="K16" s="18">
        <v>0</v>
      </c>
    </row>
    <row r="17" spans="6:11" x14ac:dyDescent="0.45">
      <c r="F17" s="5" t="s">
        <v>100</v>
      </c>
      <c r="G17" s="5" t="s">
        <v>131</v>
      </c>
      <c r="H17" s="5" t="s">
        <v>221</v>
      </c>
      <c r="I17" s="6">
        <v>12080.060000000001</v>
      </c>
      <c r="J17" s="18">
        <v>2580</v>
      </c>
      <c r="K17" s="18">
        <v>34.4</v>
      </c>
    </row>
    <row r="18" spans="6:11" x14ac:dyDescent="0.45">
      <c r="F18" s="5" t="s">
        <v>100</v>
      </c>
      <c r="G18" s="5" t="s">
        <v>137</v>
      </c>
      <c r="H18" s="5" t="s">
        <v>222</v>
      </c>
      <c r="I18" s="6">
        <v>168545.14</v>
      </c>
      <c r="J18" s="18">
        <v>34092</v>
      </c>
      <c r="K18" s="18">
        <v>636</v>
      </c>
    </row>
    <row r="20" spans="6:11" x14ac:dyDescent="0.45">
      <c r="G20" s="10" t="s">
        <v>223</v>
      </c>
      <c r="H20" s="11"/>
      <c r="I20" s="12">
        <f>SUM(I3:I18)</f>
        <v>12217507.779999999</v>
      </c>
      <c r="J20" s="12">
        <f t="shared" ref="J20:K20" si="0">SUM(J3:J18)</f>
        <v>360401.56</v>
      </c>
      <c r="K20" s="2">
        <f t="shared" si="0"/>
        <v>9654.9599999999991</v>
      </c>
    </row>
    <row r="21" spans="6:11" x14ac:dyDescent="0.45">
      <c r="G21" s="10" t="s">
        <v>224</v>
      </c>
      <c r="H21" s="11"/>
      <c r="I21" s="13">
        <f>I20/B6</f>
        <v>0.48920358427936322</v>
      </c>
      <c r="J21" s="13"/>
      <c r="K21" s="4"/>
    </row>
    <row r="22" spans="6:11" x14ac:dyDescent="0.45">
      <c r="G22" t="s">
        <v>227</v>
      </c>
      <c r="I22" s="2">
        <f>SUM(I9:I18)</f>
        <v>9040113.7299999986</v>
      </c>
      <c r="J22" s="13">
        <f>I22/B5</f>
        <v>0.96358203811878307</v>
      </c>
    </row>
    <row r="23" spans="6:11" x14ac:dyDescent="0.45">
      <c r="G23" t="s">
        <v>228</v>
      </c>
      <c r="I23" s="2">
        <f>SUM(I3:I8)</f>
        <v>3177394.05</v>
      </c>
      <c r="J23" s="13">
        <f>I23/B3</f>
        <v>0.20493805601177695</v>
      </c>
    </row>
  </sheetData>
  <sortState ref="F3:L19">
    <sortCondition ref="F3:F19"/>
  </sortState>
  <mergeCells count="2">
    <mergeCell ref="F1:K1"/>
    <mergeCell ref="A1:D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sqref="A1:D1"/>
    </sheetView>
  </sheetViews>
  <sheetFormatPr defaultRowHeight="14.25" x14ac:dyDescent="0.45"/>
  <cols>
    <col min="1" max="1" width="48.73046875" bestFit="1" customWidth="1"/>
  </cols>
  <sheetData>
    <row r="1" spans="1:1" x14ac:dyDescent="0.45">
      <c r="A1" t="s">
        <v>192</v>
      </c>
    </row>
    <row r="2" spans="1:1" x14ac:dyDescent="0.45">
      <c r="A2" s="1" t="s">
        <v>108</v>
      </c>
    </row>
    <row r="3" spans="1:1" x14ac:dyDescent="0.45">
      <c r="A3" s="1" t="s">
        <v>118</v>
      </c>
    </row>
    <row r="4" spans="1:1" x14ac:dyDescent="0.45">
      <c r="A4" s="1" t="s">
        <v>88</v>
      </c>
    </row>
    <row r="5" spans="1:1" x14ac:dyDescent="0.45">
      <c r="A5" s="1" t="s">
        <v>120</v>
      </c>
    </row>
    <row r="6" spans="1:1" x14ac:dyDescent="0.45">
      <c r="A6" s="1" t="s">
        <v>125</v>
      </c>
    </row>
    <row r="7" spans="1:1" x14ac:dyDescent="0.45">
      <c r="A7" s="1" t="s">
        <v>48</v>
      </c>
    </row>
    <row r="8" spans="1:1" x14ac:dyDescent="0.45">
      <c r="A8" s="1" t="s">
        <v>84</v>
      </c>
    </row>
    <row r="9" spans="1:1" x14ac:dyDescent="0.45">
      <c r="A9" s="1" t="s">
        <v>127</v>
      </c>
    </row>
    <row r="10" spans="1:1" x14ac:dyDescent="0.45">
      <c r="A10" s="1" t="s">
        <v>98</v>
      </c>
    </row>
    <row r="11" spans="1:1" x14ac:dyDescent="0.45">
      <c r="A11" s="1" t="s">
        <v>54</v>
      </c>
    </row>
    <row r="12" spans="1:1" x14ac:dyDescent="0.45">
      <c r="A12" s="1" t="s">
        <v>86</v>
      </c>
    </row>
    <row r="13" spans="1:1" x14ac:dyDescent="0.45">
      <c r="A13" s="1" t="s">
        <v>67</v>
      </c>
    </row>
    <row r="14" spans="1:1" x14ac:dyDescent="0.45">
      <c r="A14" s="1" t="s">
        <v>122</v>
      </c>
    </row>
    <row r="15" spans="1:1" x14ac:dyDescent="0.45">
      <c r="A15" s="1" t="s">
        <v>91</v>
      </c>
    </row>
    <row r="16" spans="1:1" x14ac:dyDescent="0.45">
      <c r="A16" s="1" t="s">
        <v>130</v>
      </c>
    </row>
    <row r="17" spans="1:1" x14ac:dyDescent="0.45">
      <c r="A17" s="1" t="s">
        <v>135</v>
      </c>
    </row>
    <row r="18" spans="1:1" x14ac:dyDescent="0.45">
      <c r="A18" s="1" t="s">
        <v>132</v>
      </c>
    </row>
    <row r="19" spans="1:1" x14ac:dyDescent="0.45">
      <c r="A19" s="1" t="s">
        <v>138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
  <sheetViews>
    <sheetView workbookViewId="0">
      <selection sqref="A1:D1"/>
    </sheetView>
  </sheetViews>
  <sheetFormatPr defaultColWidth="32.3984375" defaultRowHeight="14.25" x14ac:dyDescent="0.45"/>
  <cols>
    <col min="1" max="1" width="10.86328125" bestFit="1" customWidth="1"/>
    <col min="2" max="2" width="8.86328125" bestFit="1" customWidth="1"/>
    <col min="3" max="3" width="53.73046875" customWidth="1"/>
  </cols>
  <sheetData>
    <row r="1" spans="1:20" x14ac:dyDescent="0.45">
      <c r="A1" t="s">
        <v>0</v>
      </c>
      <c r="B1" t="s">
        <v>194</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row>
    <row r="2" spans="1:20" x14ac:dyDescent="0.45">
      <c r="A2" t="s">
        <v>19</v>
      </c>
      <c r="C2" t="s">
        <v>20</v>
      </c>
      <c r="D2" t="s">
        <v>21</v>
      </c>
      <c r="E2" t="s">
        <v>22</v>
      </c>
      <c r="F2" t="s">
        <v>23</v>
      </c>
      <c r="G2">
        <v>20</v>
      </c>
      <c r="H2" t="s">
        <v>24</v>
      </c>
      <c r="I2">
        <v>62.87</v>
      </c>
      <c r="J2">
        <v>62.87</v>
      </c>
      <c r="K2">
        <v>62.87</v>
      </c>
      <c r="L2">
        <v>0</v>
      </c>
      <c r="M2" t="s">
        <v>25</v>
      </c>
      <c r="N2">
        <v>20</v>
      </c>
      <c r="O2" s="2">
        <v>27241.72</v>
      </c>
      <c r="P2" t="s">
        <v>26</v>
      </c>
      <c r="Q2">
        <v>15</v>
      </c>
      <c r="R2">
        <v>4500</v>
      </c>
      <c r="S2">
        <v>0</v>
      </c>
      <c r="T2">
        <v>0</v>
      </c>
    </row>
    <row r="3" spans="1:20" x14ac:dyDescent="0.45">
      <c r="A3" t="s">
        <v>19</v>
      </c>
      <c r="C3" t="s">
        <v>20</v>
      </c>
      <c r="D3" t="s">
        <v>21</v>
      </c>
      <c r="E3" t="s">
        <v>22</v>
      </c>
      <c r="F3" t="s">
        <v>27</v>
      </c>
      <c r="G3">
        <v>100</v>
      </c>
      <c r="H3" t="s">
        <v>24</v>
      </c>
      <c r="I3">
        <v>66.28</v>
      </c>
      <c r="J3">
        <v>66.28</v>
      </c>
      <c r="K3">
        <v>66.28</v>
      </c>
      <c r="L3">
        <v>0</v>
      </c>
      <c r="M3" t="s">
        <v>25</v>
      </c>
      <c r="N3">
        <v>100</v>
      </c>
      <c r="O3" s="2">
        <v>28720.25</v>
      </c>
      <c r="P3" t="s">
        <v>28</v>
      </c>
      <c r="Q3">
        <v>15</v>
      </c>
      <c r="R3">
        <v>4500</v>
      </c>
      <c r="S3">
        <v>0</v>
      </c>
      <c r="T3">
        <v>0</v>
      </c>
    </row>
    <row r="4" spans="1:20" x14ac:dyDescent="0.45">
      <c r="A4" t="s">
        <v>19</v>
      </c>
      <c r="C4" t="s">
        <v>29</v>
      </c>
      <c r="D4" t="s">
        <v>30</v>
      </c>
      <c r="E4" t="s">
        <v>22</v>
      </c>
      <c r="F4" t="s">
        <v>31</v>
      </c>
      <c r="G4">
        <v>70</v>
      </c>
      <c r="H4" t="s">
        <v>24</v>
      </c>
      <c r="I4">
        <v>11681.86</v>
      </c>
      <c r="J4">
        <v>11681.86</v>
      </c>
      <c r="K4">
        <v>11681.86</v>
      </c>
      <c r="L4">
        <v>0</v>
      </c>
      <c r="M4" t="s">
        <v>25</v>
      </c>
      <c r="N4">
        <v>70</v>
      </c>
      <c r="O4" s="2">
        <v>0</v>
      </c>
      <c r="P4" t="s">
        <v>32</v>
      </c>
      <c r="Q4">
        <v>1</v>
      </c>
      <c r="R4">
        <v>0</v>
      </c>
      <c r="S4">
        <v>0</v>
      </c>
      <c r="T4">
        <v>0</v>
      </c>
    </row>
    <row r="5" spans="1:20" x14ac:dyDescent="0.45">
      <c r="A5" t="s">
        <v>19</v>
      </c>
      <c r="C5" t="s">
        <v>33</v>
      </c>
      <c r="D5" t="s">
        <v>34</v>
      </c>
      <c r="E5" t="s">
        <v>22</v>
      </c>
      <c r="F5" t="s">
        <v>35</v>
      </c>
      <c r="G5">
        <v>60</v>
      </c>
      <c r="H5" t="s">
        <v>24</v>
      </c>
      <c r="I5">
        <v>7009.12</v>
      </c>
      <c r="J5">
        <v>7009.12</v>
      </c>
      <c r="K5">
        <v>5841.84</v>
      </c>
      <c r="L5">
        <v>1167.28</v>
      </c>
      <c r="M5" t="s">
        <v>25</v>
      </c>
      <c r="N5">
        <v>50.01</v>
      </c>
      <c r="O5" s="2">
        <v>0</v>
      </c>
      <c r="P5" t="s">
        <v>36</v>
      </c>
      <c r="Q5">
        <v>1</v>
      </c>
      <c r="R5">
        <v>0</v>
      </c>
      <c r="S5">
        <v>0</v>
      </c>
      <c r="T5">
        <v>0</v>
      </c>
    </row>
    <row r="6" spans="1:20" x14ac:dyDescent="0.45">
      <c r="A6" t="s">
        <v>19</v>
      </c>
      <c r="C6" t="s">
        <v>37</v>
      </c>
      <c r="D6" t="s">
        <v>38</v>
      </c>
      <c r="E6" t="s">
        <v>39</v>
      </c>
      <c r="F6" t="s">
        <v>31</v>
      </c>
      <c r="G6">
        <v>50</v>
      </c>
      <c r="H6" t="s">
        <v>24</v>
      </c>
      <c r="I6">
        <v>2501.3200000000002</v>
      </c>
      <c r="J6">
        <v>2501.3200000000002</v>
      </c>
      <c r="K6">
        <v>2501.3200000000002</v>
      </c>
      <c r="L6">
        <v>0</v>
      </c>
      <c r="M6" t="s">
        <v>25</v>
      </c>
      <c r="N6">
        <v>50</v>
      </c>
      <c r="O6" s="2">
        <v>273593.94</v>
      </c>
      <c r="P6" t="s">
        <v>40</v>
      </c>
      <c r="Q6">
        <v>1</v>
      </c>
      <c r="R6">
        <v>0</v>
      </c>
      <c r="S6">
        <v>109.38</v>
      </c>
      <c r="T6">
        <v>0</v>
      </c>
    </row>
    <row r="7" spans="1:20" x14ac:dyDescent="0.45">
      <c r="A7" t="s">
        <v>19</v>
      </c>
      <c r="C7" t="s">
        <v>37</v>
      </c>
      <c r="D7" t="s">
        <v>38</v>
      </c>
      <c r="E7" t="s">
        <v>39</v>
      </c>
      <c r="F7" t="s">
        <v>41</v>
      </c>
      <c r="G7">
        <v>50</v>
      </c>
      <c r="H7" t="s">
        <v>24</v>
      </c>
      <c r="I7">
        <v>182.08</v>
      </c>
      <c r="J7">
        <v>182.08</v>
      </c>
      <c r="K7">
        <v>182.08</v>
      </c>
      <c r="L7">
        <v>0</v>
      </c>
      <c r="M7" t="s">
        <v>25</v>
      </c>
      <c r="N7">
        <v>50</v>
      </c>
      <c r="O7" s="2">
        <v>19915.91</v>
      </c>
      <c r="P7" t="s">
        <v>40</v>
      </c>
      <c r="Q7">
        <v>1</v>
      </c>
      <c r="R7">
        <v>0</v>
      </c>
      <c r="S7">
        <v>109.38</v>
      </c>
      <c r="T7">
        <v>0</v>
      </c>
    </row>
    <row r="8" spans="1:20" x14ac:dyDescent="0.45">
      <c r="A8" t="s">
        <v>19</v>
      </c>
      <c r="C8" t="s">
        <v>37</v>
      </c>
      <c r="D8" t="s">
        <v>38</v>
      </c>
      <c r="E8" t="s">
        <v>39</v>
      </c>
      <c r="F8" t="s">
        <v>35</v>
      </c>
      <c r="G8">
        <v>50</v>
      </c>
      <c r="H8" t="s">
        <v>24</v>
      </c>
      <c r="I8">
        <v>5836.41</v>
      </c>
      <c r="J8">
        <v>5836.41</v>
      </c>
      <c r="K8">
        <v>5836.41</v>
      </c>
      <c r="L8">
        <v>0</v>
      </c>
      <c r="M8" t="s">
        <v>25</v>
      </c>
      <c r="N8">
        <v>50</v>
      </c>
      <c r="O8" s="2">
        <v>638386.41</v>
      </c>
      <c r="P8" t="s">
        <v>40</v>
      </c>
      <c r="Q8">
        <v>1</v>
      </c>
      <c r="R8">
        <v>0</v>
      </c>
      <c r="S8">
        <v>109.38</v>
      </c>
      <c r="T8">
        <v>0</v>
      </c>
    </row>
    <row r="9" spans="1:20" x14ac:dyDescent="0.45">
      <c r="A9" t="s">
        <v>19</v>
      </c>
      <c r="C9" t="s">
        <v>42</v>
      </c>
      <c r="D9" t="s">
        <v>43</v>
      </c>
      <c r="E9" t="s">
        <v>39</v>
      </c>
      <c r="F9" t="s">
        <v>44</v>
      </c>
      <c r="G9">
        <v>40</v>
      </c>
      <c r="H9" t="s">
        <v>24</v>
      </c>
      <c r="I9">
        <v>1223.8800000000001</v>
      </c>
      <c r="J9">
        <v>1223.8800000000001</v>
      </c>
      <c r="K9">
        <v>1223.8800000000001</v>
      </c>
      <c r="L9">
        <v>0</v>
      </c>
      <c r="M9" t="s">
        <v>25</v>
      </c>
      <c r="N9">
        <v>40</v>
      </c>
      <c r="O9" s="2">
        <v>26521.41</v>
      </c>
      <c r="P9" t="s">
        <v>45</v>
      </c>
      <c r="Q9">
        <v>5</v>
      </c>
      <c r="R9">
        <v>0</v>
      </c>
      <c r="S9">
        <v>21.67</v>
      </c>
      <c r="T9">
        <v>0</v>
      </c>
    </row>
    <row r="10" spans="1:20" x14ac:dyDescent="0.45">
      <c r="A10" t="s">
        <v>19</v>
      </c>
      <c r="C10" t="s">
        <v>42</v>
      </c>
      <c r="D10" t="s">
        <v>43</v>
      </c>
      <c r="E10" t="s">
        <v>39</v>
      </c>
      <c r="F10" t="s">
        <v>46</v>
      </c>
      <c r="G10">
        <v>20</v>
      </c>
      <c r="H10" t="s">
        <v>24</v>
      </c>
      <c r="I10">
        <v>4844.24</v>
      </c>
      <c r="J10">
        <v>4844.24</v>
      </c>
      <c r="K10">
        <v>4844.24</v>
      </c>
      <c r="L10">
        <v>0</v>
      </c>
      <c r="M10" t="s">
        <v>25</v>
      </c>
      <c r="N10">
        <v>20</v>
      </c>
      <c r="O10" s="2">
        <v>104974.69</v>
      </c>
      <c r="P10" t="s">
        <v>45</v>
      </c>
      <c r="Q10">
        <v>5</v>
      </c>
      <c r="R10">
        <v>0</v>
      </c>
      <c r="S10">
        <v>21.67</v>
      </c>
      <c r="T10">
        <v>0</v>
      </c>
    </row>
    <row r="11" spans="1:20" x14ac:dyDescent="0.45">
      <c r="A11" t="s">
        <v>19</v>
      </c>
      <c r="C11" t="s">
        <v>42</v>
      </c>
      <c r="D11" t="s">
        <v>43</v>
      </c>
      <c r="E11" t="s">
        <v>39</v>
      </c>
      <c r="F11" t="s">
        <v>31</v>
      </c>
      <c r="G11">
        <v>40</v>
      </c>
      <c r="H11" t="s">
        <v>24</v>
      </c>
      <c r="I11">
        <v>2001.06</v>
      </c>
      <c r="J11">
        <v>2001.06</v>
      </c>
      <c r="K11">
        <v>2001.06</v>
      </c>
      <c r="L11">
        <v>0</v>
      </c>
      <c r="M11" t="s">
        <v>25</v>
      </c>
      <c r="N11">
        <v>40</v>
      </c>
      <c r="O11" s="2">
        <v>43362.86</v>
      </c>
      <c r="P11" t="s">
        <v>45</v>
      </c>
      <c r="Q11">
        <v>5</v>
      </c>
      <c r="R11">
        <v>0</v>
      </c>
      <c r="S11">
        <v>21.67</v>
      </c>
      <c r="T11">
        <v>0</v>
      </c>
    </row>
    <row r="12" spans="1:20" x14ac:dyDescent="0.45">
      <c r="A12" t="s">
        <v>19</v>
      </c>
      <c r="C12" t="s">
        <v>42</v>
      </c>
      <c r="D12" t="s">
        <v>43</v>
      </c>
      <c r="E12" t="s">
        <v>39</v>
      </c>
      <c r="F12" t="s">
        <v>41</v>
      </c>
      <c r="G12">
        <v>40</v>
      </c>
      <c r="H12" t="s">
        <v>24</v>
      </c>
      <c r="I12">
        <v>145.66</v>
      </c>
      <c r="J12">
        <v>145.66</v>
      </c>
      <c r="K12">
        <v>145.66</v>
      </c>
      <c r="L12">
        <v>0</v>
      </c>
      <c r="M12" t="s">
        <v>25</v>
      </c>
      <c r="N12">
        <v>40</v>
      </c>
      <c r="O12" s="2">
        <v>3156.52</v>
      </c>
      <c r="P12" t="s">
        <v>45</v>
      </c>
      <c r="Q12">
        <v>5</v>
      </c>
      <c r="R12">
        <v>0</v>
      </c>
      <c r="S12">
        <v>21.67</v>
      </c>
      <c r="T12">
        <v>0</v>
      </c>
    </row>
    <row r="13" spans="1:20" x14ac:dyDescent="0.45">
      <c r="A13" t="s">
        <v>19</v>
      </c>
      <c r="C13" t="s">
        <v>42</v>
      </c>
      <c r="D13" t="s">
        <v>43</v>
      </c>
      <c r="E13" t="s">
        <v>39</v>
      </c>
      <c r="F13" t="s">
        <v>35</v>
      </c>
      <c r="G13">
        <v>40</v>
      </c>
      <c r="H13" t="s">
        <v>24</v>
      </c>
      <c r="I13">
        <v>4669.13</v>
      </c>
      <c r="J13">
        <v>4669.13</v>
      </c>
      <c r="K13">
        <v>4669.13</v>
      </c>
      <c r="L13">
        <v>0</v>
      </c>
      <c r="M13" t="s">
        <v>25</v>
      </c>
      <c r="N13">
        <v>40</v>
      </c>
      <c r="O13" s="2">
        <v>101179.96</v>
      </c>
      <c r="P13" t="s">
        <v>45</v>
      </c>
      <c r="Q13">
        <v>5</v>
      </c>
      <c r="R13">
        <v>0</v>
      </c>
      <c r="S13">
        <v>21.67</v>
      </c>
      <c r="T13">
        <v>0</v>
      </c>
    </row>
    <row r="14" spans="1:20" x14ac:dyDescent="0.45">
      <c r="A14" t="s">
        <v>19</v>
      </c>
      <c r="B14" t="s">
        <v>193</v>
      </c>
      <c r="C14" t="s">
        <v>47</v>
      </c>
      <c r="D14" t="s">
        <v>48</v>
      </c>
      <c r="E14" t="s">
        <v>22</v>
      </c>
      <c r="F14" t="s">
        <v>44</v>
      </c>
      <c r="G14">
        <v>3</v>
      </c>
      <c r="H14" t="s">
        <v>24</v>
      </c>
      <c r="I14">
        <v>97.83</v>
      </c>
      <c r="J14">
        <v>97.83</v>
      </c>
      <c r="K14">
        <v>97.83</v>
      </c>
      <c r="L14">
        <v>0</v>
      </c>
      <c r="M14" t="s">
        <v>49</v>
      </c>
      <c r="N14">
        <v>3</v>
      </c>
      <c r="O14" s="2">
        <v>9200.82</v>
      </c>
      <c r="Q14">
        <v>75</v>
      </c>
      <c r="R14">
        <v>683</v>
      </c>
      <c r="S14">
        <v>59</v>
      </c>
      <c r="T14">
        <v>0</v>
      </c>
    </row>
    <row r="15" spans="1:20" x14ac:dyDescent="0.45">
      <c r="A15" t="s">
        <v>19</v>
      </c>
      <c r="B15" t="s">
        <v>193</v>
      </c>
      <c r="C15" t="s">
        <v>47</v>
      </c>
      <c r="D15" t="s">
        <v>48</v>
      </c>
      <c r="E15" t="s">
        <v>22</v>
      </c>
      <c r="F15" t="s">
        <v>46</v>
      </c>
      <c r="G15">
        <v>3</v>
      </c>
      <c r="H15" t="s">
        <v>24</v>
      </c>
      <c r="I15">
        <v>774.99</v>
      </c>
      <c r="J15">
        <v>774.99</v>
      </c>
      <c r="K15">
        <v>774.99</v>
      </c>
      <c r="L15">
        <v>0</v>
      </c>
      <c r="M15" t="s">
        <v>49</v>
      </c>
      <c r="N15">
        <v>3</v>
      </c>
      <c r="O15" s="2">
        <v>72887.91</v>
      </c>
      <c r="Q15">
        <v>75</v>
      </c>
      <c r="R15">
        <v>683</v>
      </c>
      <c r="S15">
        <v>59</v>
      </c>
      <c r="T15">
        <v>0</v>
      </c>
    </row>
    <row r="16" spans="1:20" x14ac:dyDescent="0.45">
      <c r="A16" t="s">
        <v>19</v>
      </c>
      <c r="B16" t="s">
        <v>193</v>
      </c>
      <c r="C16" t="s">
        <v>47</v>
      </c>
      <c r="D16" t="s">
        <v>48</v>
      </c>
      <c r="E16" t="s">
        <v>22</v>
      </c>
      <c r="F16" t="s">
        <v>50</v>
      </c>
      <c r="G16">
        <v>3</v>
      </c>
      <c r="H16" t="s">
        <v>24</v>
      </c>
      <c r="I16">
        <v>195.45</v>
      </c>
      <c r="J16">
        <v>195.45</v>
      </c>
      <c r="K16">
        <v>195.45</v>
      </c>
      <c r="L16">
        <v>0</v>
      </c>
      <c r="M16" t="s">
        <v>49</v>
      </c>
      <c r="N16">
        <v>3</v>
      </c>
      <c r="O16" s="2">
        <v>18382.36</v>
      </c>
      <c r="Q16">
        <v>75</v>
      </c>
      <c r="R16">
        <v>683</v>
      </c>
      <c r="S16">
        <v>59</v>
      </c>
      <c r="T16">
        <v>0</v>
      </c>
    </row>
    <row r="17" spans="1:20" x14ac:dyDescent="0.45">
      <c r="A17" t="s">
        <v>19</v>
      </c>
      <c r="B17" t="s">
        <v>193</v>
      </c>
      <c r="C17" t="s">
        <v>47</v>
      </c>
      <c r="D17" t="s">
        <v>48</v>
      </c>
      <c r="E17" t="s">
        <v>22</v>
      </c>
      <c r="F17" t="s">
        <v>31</v>
      </c>
      <c r="G17">
        <v>3</v>
      </c>
      <c r="H17" t="s">
        <v>24</v>
      </c>
      <c r="I17">
        <v>532.08000000000004</v>
      </c>
      <c r="J17">
        <v>486.73</v>
      </c>
      <c r="K17">
        <v>486.73</v>
      </c>
      <c r="L17">
        <v>0</v>
      </c>
      <c r="M17" t="s">
        <v>49</v>
      </c>
      <c r="N17">
        <v>2.74</v>
      </c>
      <c r="O17" s="2">
        <v>50042.03</v>
      </c>
      <c r="Q17">
        <v>75</v>
      </c>
      <c r="R17">
        <v>683</v>
      </c>
      <c r="S17">
        <v>59</v>
      </c>
      <c r="T17">
        <v>0</v>
      </c>
    </row>
    <row r="18" spans="1:20" x14ac:dyDescent="0.45">
      <c r="A18" t="s">
        <v>19</v>
      </c>
      <c r="B18" t="s">
        <v>193</v>
      </c>
      <c r="C18" t="s">
        <v>47</v>
      </c>
      <c r="D18" t="s">
        <v>48</v>
      </c>
      <c r="E18" t="s">
        <v>22</v>
      </c>
      <c r="F18" t="s">
        <v>41</v>
      </c>
      <c r="G18">
        <v>3</v>
      </c>
      <c r="H18" t="s">
        <v>24</v>
      </c>
      <c r="I18">
        <v>11.85</v>
      </c>
      <c r="J18">
        <v>11.85</v>
      </c>
      <c r="K18">
        <v>11.85</v>
      </c>
      <c r="L18">
        <v>0</v>
      </c>
      <c r="M18" t="s">
        <v>49</v>
      </c>
      <c r="N18">
        <v>3</v>
      </c>
      <c r="O18" s="2">
        <v>1114.49</v>
      </c>
      <c r="Q18">
        <v>75</v>
      </c>
      <c r="R18">
        <v>683</v>
      </c>
      <c r="S18">
        <v>59</v>
      </c>
      <c r="T18">
        <v>0</v>
      </c>
    </row>
    <row r="19" spans="1:20" x14ac:dyDescent="0.45">
      <c r="A19" t="s">
        <v>19</v>
      </c>
      <c r="B19" t="s">
        <v>193</v>
      </c>
      <c r="C19" t="s">
        <v>47</v>
      </c>
      <c r="D19" t="s">
        <v>48</v>
      </c>
      <c r="E19" t="s">
        <v>22</v>
      </c>
      <c r="F19" t="s">
        <v>51</v>
      </c>
      <c r="G19">
        <v>35</v>
      </c>
      <c r="H19" t="s">
        <v>24</v>
      </c>
      <c r="I19">
        <v>18043.45</v>
      </c>
      <c r="J19">
        <v>18043.45</v>
      </c>
      <c r="K19">
        <v>18043.45</v>
      </c>
      <c r="L19">
        <v>0</v>
      </c>
      <c r="M19" t="s">
        <v>49</v>
      </c>
      <c r="N19">
        <v>35</v>
      </c>
      <c r="O19" s="2">
        <v>1696986.05</v>
      </c>
      <c r="P19" t="s">
        <v>52</v>
      </c>
      <c r="Q19">
        <v>75</v>
      </c>
      <c r="R19">
        <v>683</v>
      </c>
      <c r="S19">
        <v>59</v>
      </c>
      <c r="T19">
        <v>0</v>
      </c>
    </row>
    <row r="20" spans="1:20" x14ac:dyDescent="0.45">
      <c r="A20" t="s">
        <v>19</v>
      </c>
      <c r="B20" t="s">
        <v>193</v>
      </c>
      <c r="C20" t="s">
        <v>53</v>
      </c>
      <c r="D20" t="s">
        <v>54</v>
      </c>
      <c r="E20" t="s">
        <v>22</v>
      </c>
      <c r="F20" t="s">
        <v>44</v>
      </c>
      <c r="G20">
        <v>3</v>
      </c>
      <c r="H20" t="s">
        <v>24</v>
      </c>
      <c r="I20">
        <v>94.72</v>
      </c>
      <c r="J20">
        <v>94.72</v>
      </c>
      <c r="K20">
        <v>94.72</v>
      </c>
      <c r="L20">
        <v>0</v>
      </c>
      <c r="M20" t="s">
        <v>49</v>
      </c>
      <c r="N20">
        <v>3</v>
      </c>
      <c r="O20" s="2">
        <v>8776.57</v>
      </c>
      <c r="Q20">
        <v>10</v>
      </c>
      <c r="R20">
        <v>260</v>
      </c>
      <c r="S20">
        <v>59.03</v>
      </c>
      <c r="T20">
        <v>0</v>
      </c>
    </row>
    <row r="21" spans="1:20" x14ac:dyDescent="0.45">
      <c r="A21" t="s">
        <v>19</v>
      </c>
      <c r="B21" t="s">
        <v>193</v>
      </c>
      <c r="C21" t="s">
        <v>53</v>
      </c>
      <c r="D21" t="s">
        <v>54</v>
      </c>
      <c r="E21" t="s">
        <v>22</v>
      </c>
      <c r="F21" t="s">
        <v>46</v>
      </c>
      <c r="G21">
        <v>3</v>
      </c>
      <c r="H21" t="s">
        <v>24</v>
      </c>
      <c r="I21">
        <v>749.89</v>
      </c>
      <c r="J21">
        <v>749.89</v>
      </c>
      <c r="K21">
        <v>749.89</v>
      </c>
      <c r="L21">
        <v>0</v>
      </c>
      <c r="M21" t="s">
        <v>49</v>
      </c>
      <c r="N21">
        <v>3</v>
      </c>
      <c r="O21" s="2">
        <v>69484.63</v>
      </c>
      <c r="Q21">
        <v>10</v>
      </c>
      <c r="R21">
        <v>260</v>
      </c>
      <c r="S21">
        <v>59.03</v>
      </c>
      <c r="T21">
        <v>0</v>
      </c>
    </row>
    <row r="22" spans="1:20" x14ac:dyDescent="0.45">
      <c r="A22" t="s">
        <v>19</v>
      </c>
      <c r="B22" t="s">
        <v>193</v>
      </c>
      <c r="C22" t="s">
        <v>53</v>
      </c>
      <c r="D22" t="s">
        <v>54</v>
      </c>
      <c r="E22" t="s">
        <v>22</v>
      </c>
      <c r="F22" t="s">
        <v>31</v>
      </c>
      <c r="G22">
        <v>3</v>
      </c>
      <c r="H22" t="s">
        <v>24</v>
      </c>
      <c r="I22">
        <v>515.6</v>
      </c>
      <c r="J22">
        <v>492.94</v>
      </c>
      <c r="K22">
        <v>492.94</v>
      </c>
      <c r="L22">
        <v>0</v>
      </c>
      <c r="M22" t="s">
        <v>49</v>
      </c>
      <c r="N22">
        <v>2.87</v>
      </c>
      <c r="O22" s="2">
        <v>47775.96</v>
      </c>
      <c r="Q22">
        <v>10</v>
      </c>
      <c r="R22">
        <v>260</v>
      </c>
      <c r="S22">
        <v>59.03</v>
      </c>
      <c r="T22">
        <v>0</v>
      </c>
    </row>
    <row r="23" spans="1:20" x14ac:dyDescent="0.45">
      <c r="A23" t="s">
        <v>19</v>
      </c>
      <c r="B23" t="s">
        <v>193</v>
      </c>
      <c r="C23" t="s">
        <v>53</v>
      </c>
      <c r="D23" t="s">
        <v>54</v>
      </c>
      <c r="E23" t="s">
        <v>22</v>
      </c>
      <c r="F23" t="s">
        <v>41</v>
      </c>
      <c r="G23">
        <v>3</v>
      </c>
      <c r="H23" t="s">
        <v>24</v>
      </c>
      <c r="I23">
        <v>11.3</v>
      </c>
      <c r="J23">
        <v>11.3</v>
      </c>
      <c r="K23">
        <v>11.3</v>
      </c>
      <c r="L23">
        <v>0</v>
      </c>
      <c r="M23" t="s">
        <v>49</v>
      </c>
      <c r="N23">
        <v>3</v>
      </c>
      <c r="O23" s="2">
        <v>1047.24</v>
      </c>
      <c r="P23" t="s">
        <v>55</v>
      </c>
      <c r="Q23">
        <v>10</v>
      </c>
      <c r="R23">
        <v>260</v>
      </c>
      <c r="S23">
        <v>59.03</v>
      </c>
      <c r="T23">
        <v>0</v>
      </c>
    </row>
    <row r="24" spans="1:20" x14ac:dyDescent="0.45">
      <c r="A24" t="s">
        <v>19</v>
      </c>
      <c r="B24" t="s">
        <v>193</v>
      </c>
      <c r="C24" t="s">
        <v>53</v>
      </c>
      <c r="D24" t="s">
        <v>54</v>
      </c>
      <c r="E24" t="s">
        <v>22</v>
      </c>
      <c r="F24" t="s">
        <v>51</v>
      </c>
      <c r="G24">
        <v>35</v>
      </c>
      <c r="H24" t="s">
        <v>24</v>
      </c>
      <c r="I24">
        <v>11472.56</v>
      </c>
      <c r="J24">
        <v>11472.56</v>
      </c>
      <c r="K24">
        <v>11472.56</v>
      </c>
      <c r="L24">
        <v>0</v>
      </c>
      <c r="M24" t="s">
        <v>49</v>
      </c>
      <c r="N24">
        <v>35</v>
      </c>
      <c r="O24" s="2">
        <v>1063047.74</v>
      </c>
      <c r="P24" t="s">
        <v>56</v>
      </c>
      <c r="Q24">
        <v>10</v>
      </c>
      <c r="R24">
        <v>260</v>
      </c>
      <c r="S24">
        <v>59.03</v>
      </c>
      <c r="T24">
        <v>0</v>
      </c>
    </row>
    <row r="25" spans="1:20" x14ac:dyDescent="0.45">
      <c r="A25" t="s">
        <v>19</v>
      </c>
      <c r="C25" t="s">
        <v>57</v>
      </c>
      <c r="D25" t="s">
        <v>58</v>
      </c>
      <c r="E25" t="s">
        <v>22</v>
      </c>
      <c r="F25" t="s">
        <v>51</v>
      </c>
      <c r="G25">
        <v>20</v>
      </c>
      <c r="H25" t="s">
        <v>24</v>
      </c>
      <c r="I25">
        <v>4261.24</v>
      </c>
      <c r="J25">
        <v>4261.24</v>
      </c>
      <c r="K25">
        <v>4261.24</v>
      </c>
      <c r="L25">
        <v>0</v>
      </c>
      <c r="M25" t="s">
        <v>25</v>
      </c>
      <c r="N25">
        <v>20</v>
      </c>
      <c r="O25" s="2">
        <v>98391.99</v>
      </c>
      <c r="P25" t="s">
        <v>59</v>
      </c>
      <c r="Q25">
        <v>15</v>
      </c>
      <c r="R25">
        <v>239.74</v>
      </c>
      <c r="S25">
        <v>0</v>
      </c>
      <c r="T25">
        <v>0</v>
      </c>
    </row>
    <row r="26" spans="1:20" x14ac:dyDescent="0.45">
      <c r="A26" t="s">
        <v>19</v>
      </c>
      <c r="C26" t="s">
        <v>60</v>
      </c>
      <c r="D26" t="s">
        <v>61</v>
      </c>
      <c r="E26" t="s">
        <v>22</v>
      </c>
      <c r="F26" t="s">
        <v>62</v>
      </c>
      <c r="G26">
        <v>40</v>
      </c>
      <c r="H26" t="s">
        <v>24</v>
      </c>
      <c r="I26">
        <v>16.399999999999999</v>
      </c>
      <c r="J26">
        <v>16.399999999999999</v>
      </c>
      <c r="K26">
        <v>16.399999999999999</v>
      </c>
      <c r="L26">
        <v>0</v>
      </c>
      <c r="M26" t="s">
        <v>25</v>
      </c>
      <c r="N26">
        <v>40</v>
      </c>
      <c r="O26" s="2">
        <v>15911.94</v>
      </c>
      <c r="P26" t="s">
        <v>63</v>
      </c>
      <c r="Q26">
        <v>10</v>
      </c>
      <c r="R26">
        <v>7500</v>
      </c>
      <c r="S26">
        <v>0</v>
      </c>
      <c r="T26">
        <v>0</v>
      </c>
    </row>
    <row r="27" spans="1:20" x14ac:dyDescent="0.45">
      <c r="A27" t="s">
        <v>19</v>
      </c>
      <c r="C27" t="s">
        <v>64</v>
      </c>
      <c r="D27" t="s">
        <v>65</v>
      </c>
      <c r="E27" t="s">
        <v>22</v>
      </c>
      <c r="F27" t="s">
        <v>44</v>
      </c>
      <c r="G27">
        <v>2.1800000000000002</v>
      </c>
      <c r="H27" t="s">
        <v>24</v>
      </c>
      <c r="I27">
        <v>68.959999999999994</v>
      </c>
      <c r="J27">
        <v>5.92</v>
      </c>
      <c r="K27">
        <v>5.92</v>
      </c>
      <c r="L27">
        <v>0</v>
      </c>
      <c r="M27" t="s">
        <v>25</v>
      </c>
      <c r="N27">
        <v>0.19</v>
      </c>
      <c r="O27" s="2">
        <v>11632.19</v>
      </c>
      <c r="Q27">
        <v>10</v>
      </c>
      <c r="R27">
        <v>1304</v>
      </c>
      <c r="S27">
        <v>0</v>
      </c>
      <c r="T27">
        <v>0</v>
      </c>
    </row>
    <row r="28" spans="1:20" x14ac:dyDescent="0.45">
      <c r="A28" t="s">
        <v>19</v>
      </c>
      <c r="C28" t="s">
        <v>64</v>
      </c>
      <c r="D28" t="s">
        <v>65</v>
      </c>
      <c r="E28" t="s">
        <v>22</v>
      </c>
      <c r="F28" t="s">
        <v>46</v>
      </c>
      <c r="G28">
        <v>2.1800000000000002</v>
      </c>
      <c r="H28" t="s">
        <v>24</v>
      </c>
      <c r="I28">
        <v>546.26</v>
      </c>
      <c r="J28">
        <v>61.78</v>
      </c>
      <c r="K28">
        <v>61.78</v>
      </c>
      <c r="L28">
        <v>0</v>
      </c>
      <c r="M28" t="s">
        <v>25</v>
      </c>
      <c r="N28">
        <v>0.25</v>
      </c>
      <c r="O28" s="2">
        <v>92149.1</v>
      </c>
      <c r="Q28">
        <v>10</v>
      </c>
      <c r="R28">
        <v>1304</v>
      </c>
      <c r="S28">
        <v>0</v>
      </c>
      <c r="T28">
        <v>0</v>
      </c>
    </row>
    <row r="29" spans="1:20" x14ac:dyDescent="0.45">
      <c r="A29" t="s">
        <v>19</v>
      </c>
      <c r="C29" t="s">
        <v>64</v>
      </c>
      <c r="D29" t="s">
        <v>65</v>
      </c>
      <c r="E29" t="s">
        <v>22</v>
      </c>
      <c r="F29" t="s">
        <v>31</v>
      </c>
      <c r="G29">
        <v>2.1800000000000002</v>
      </c>
      <c r="H29" t="s">
        <v>24</v>
      </c>
      <c r="I29">
        <v>376.04</v>
      </c>
      <c r="J29">
        <v>62.41</v>
      </c>
      <c r="K29">
        <v>62.41</v>
      </c>
      <c r="L29">
        <v>0</v>
      </c>
      <c r="M29" t="s">
        <v>25</v>
      </c>
      <c r="N29">
        <v>0.36</v>
      </c>
      <c r="O29" s="2">
        <v>63433.35</v>
      </c>
      <c r="Q29">
        <v>10</v>
      </c>
      <c r="R29">
        <v>1304</v>
      </c>
      <c r="S29">
        <v>0</v>
      </c>
      <c r="T29">
        <v>0</v>
      </c>
    </row>
    <row r="30" spans="1:20" x14ac:dyDescent="0.45">
      <c r="A30" t="s">
        <v>19</v>
      </c>
      <c r="C30" t="s">
        <v>64</v>
      </c>
      <c r="D30" t="s">
        <v>65</v>
      </c>
      <c r="E30" t="s">
        <v>22</v>
      </c>
      <c r="F30" t="s">
        <v>41</v>
      </c>
      <c r="G30">
        <v>2.1800000000000002</v>
      </c>
      <c r="H30" t="s">
        <v>24</v>
      </c>
      <c r="I30">
        <v>8.35</v>
      </c>
      <c r="J30">
        <v>6.42</v>
      </c>
      <c r="K30">
        <v>6.42</v>
      </c>
      <c r="L30">
        <v>0</v>
      </c>
      <c r="M30" t="s">
        <v>25</v>
      </c>
      <c r="N30">
        <v>1.67</v>
      </c>
      <c r="O30" s="2">
        <v>1409.07</v>
      </c>
      <c r="Q30">
        <v>10</v>
      </c>
      <c r="R30">
        <v>1304</v>
      </c>
      <c r="S30">
        <v>0</v>
      </c>
      <c r="T30">
        <v>0</v>
      </c>
    </row>
    <row r="31" spans="1:20" x14ac:dyDescent="0.45">
      <c r="A31" t="s">
        <v>19</v>
      </c>
      <c r="C31" t="s">
        <v>64</v>
      </c>
      <c r="D31" t="s">
        <v>65</v>
      </c>
      <c r="E31" t="s">
        <v>22</v>
      </c>
      <c r="F31" t="s">
        <v>51</v>
      </c>
      <c r="G31">
        <v>2.1800000000000002</v>
      </c>
      <c r="H31" t="s">
        <v>24</v>
      </c>
      <c r="I31">
        <v>730.5</v>
      </c>
      <c r="J31">
        <v>730.5</v>
      </c>
      <c r="K31">
        <v>730.5</v>
      </c>
      <c r="L31">
        <v>0</v>
      </c>
      <c r="M31" t="s">
        <v>25</v>
      </c>
      <c r="N31">
        <v>2.1800000000000002</v>
      </c>
      <c r="O31" s="2">
        <v>123228.38</v>
      </c>
      <c r="Q31">
        <v>10</v>
      </c>
      <c r="R31">
        <v>1304</v>
      </c>
      <c r="S31">
        <v>0</v>
      </c>
      <c r="T31">
        <v>0</v>
      </c>
    </row>
    <row r="32" spans="1:20" x14ac:dyDescent="0.45">
      <c r="A32" t="s">
        <v>19</v>
      </c>
      <c r="B32" t="s">
        <v>193</v>
      </c>
      <c r="C32" t="s">
        <v>66</v>
      </c>
      <c r="D32" t="s">
        <v>67</v>
      </c>
      <c r="E32" t="s">
        <v>22</v>
      </c>
      <c r="F32" t="s">
        <v>51</v>
      </c>
      <c r="G32">
        <v>3000</v>
      </c>
      <c r="H32" t="s">
        <v>68</v>
      </c>
      <c r="I32">
        <v>3000</v>
      </c>
      <c r="J32">
        <v>3000</v>
      </c>
      <c r="K32">
        <v>3000</v>
      </c>
      <c r="L32">
        <v>0</v>
      </c>
      <c r="M32" t="s">
        <v>68</v>
      </c>
      <c r="O32" s="2">
        <v>20759.990000000002</v>
      </c>
      <c r="Q32">
        <v>20</v>
      </c>
      <c r="R32">
        <v>86.15</v>
      </c>
      <c r="S32">
        <v>0</v>
      </c>
      <c r="T32">
        <v>0</v>
      </c>
    </row>
    <row r="33" spans="1:20" x14ac:dyDescent="0.45">
      <c r="A33" t="s">
        <v>19</v>
      </c>
      <c r="B33" t="s">
        <v>193</v>
      </c>
      <c r="C33" t="s">
        <v>66</v>
      </c>
      <c r="D33" t="s">
        <v>67</v>
      </c>
      <c r="E33" t="s">
        <v>39</v>
      </c>
      <c r="F33" t="s">
        <v>35</v>
      </c>
      <c r="G33">
        <v>2000</v>
      </c>
      <c r="H33" t="s">
        <v>68</v>
      </c>
      <c r="I33">
        <v>2000</v>
      </c>
      <c r="J33">
        <v>2000</v>
      </c>
      <c r="K33">
        <v>2000</v>
      </c>
      <c r="L33">
        <v>0</v>
      </c>
      <c r="M33" t="s">
        <v>68</v>
      </c>
      <c r="O33" s="2">
        <v>13840.01</v>
      </c>
      <c r="P33" t="s">
        <v>69</v>
      </c>
      <c r="Q33">
        <v>20</v>
      </c>
      <c r="R33">
        <v>86.15</v>
      </c>
      <c r="S33">
        <v>0</v>
      </c>
      <c r="T33">
        <v>0</v>
      </c>
    </row>
    <row r="34" spans="1:20" x14ac:dyDescent="0.45">
      <c r="A34" t="s">
        <v>19</v>
      </c>
      <c r="C34" t="s">
        <v>70</v>
      </c>
      <c r="D34" t="s">
        <v>71</v>
      </c>
      <c r="E34" t="s">
        <v>22</v>
      </c>
      <c r="F34" t="s">
        <v>51</v>
      </c>
      <c r="G34">
        <v>10</v>
      </c>
      <c r="H34" t="s">
        <v>24</v>
      </c>
      <c r="I34">
        <v>2130.62</v>
      </c>
      <c r="J34">
        <v>2130.62</v>
      </c>
      <c r="K34">
        <v>2130.62</v>
      </c>
      <c r="L34">
        <v>0</v>
      </c>
      <c r="M34" t="s">
        <v>25</v>
      </c>
      <c r="N34">
        <v>10</v>
      </c>
      <c r="O34" s="2">
        <v>62853.29</v>
      </c>
      <c r="P34" t="s">
        <v>72</v>
      </c>
      <c r="Q34">
        <v>10</v>
      </c>
      <c r="R34">
        <v>228</v>
      </c>
      <c r="S34">
        <v>0</v>
      </c>
      <c r="T34">
        <v>0</v>
      </c>
    </row>
    <row r="35" spans="1:20" x14ac:dyDescent="0.45">
      <c r="A35" t="s">
        <v>19</v>
      </c>
      <c r="C35" t="s">
        <v>73</v>
      </c>
      <c r="D35" t="s">
        <v>74</v>
      </c>
      <c r="E35" t="s">
        <v>22</v>
      </c>
      <c r="F35" t="s">
        <v>51</v>
      </c>
      <c r="G35">
        <v>21.29</v>
      </c>
      <c r="H35" t="s">
        <v>24</v>
      </c>
      <c r="I35">
        <v>4536.09</v>
      </c>
      <c r="J35">
        <v>4536.09</v>
      </c>
      <c r="K35">
        <v>4536.09</v>
      </c>
      <c r="L35">
        <v>0</v>
      </c>
      <c r="M35" t="s">
        <v>25</v>
      </c>
      <c r="N35">
        <v>21.29</v>
      </c>
      <c r="O35" s="2">
        <v>127282.68</v>
      </c>
      <c r="P35" t="s">
        <v>75</v>
      </c>
      <c r="Q35">
        <v>3</v>
      </c>
      <c r="R35">
        <v>77.400000000000006</v>
      </c>
      <c r="S35">
        <v>0</v>
      </c>
      <c r="T35">
        <v>0</v>
      </c>
    </row>
    <row r="36" spans="1:20" x14ac:dyDescent="0.45">
      <c r="A36" t="s">
        <v>19</v>
      </c>
      <c r="C36" t="s">
        <v>76</v>
      </c>
      <c r="D36" t="s">
        <v>77</v>
      </c>
      <c r="E36" t="s">
        <v>22</v>
      </c>
      <c r="F36" t="s">
        <v>44</v>
      </c>
      <c r="G36">
        <v>75</v>
      </c>
      <c r="H36" t="s">
        <v>24</v>
      </c>
      <c r="I36">
        <v>2296.5500000000002</v>
      </c>
      <c r="J36">
        <v>2296.5500000000002</v>
      </c>
      <c r="K36">
        <v>2296.5500000000002</v>
      </c>
      <c r="L36">
        <v>0</v>
      </c>
      <c r="M36" t="s">
        <v>25</v>
      </c>
      <c r="N36">
        <v>75</v>
      </c>
      <c r="O36" s="2">
        <v>4455.3100000000004</v>
      </c>
      <c r="P36" t="s">
        <v>78</v>
      </c>
      <c r="Q36">
        <v>10</v>
      </c>
      <c r="R36">
        <v>15</v>
      </c>
      <c r="S36">
        <v>0</v>
      </c>
      <c r="T36">
        <v>0</v>
      </c>
    </row>
    <row r="37" spans="1:20" x14ac:dyDescent="0.45">
      <c r="A37" t="s">
        <v>19</v>
      </c>
      <c r="C37" t="s">
        <v>76</v>
      </c>
      <c r="D37" t="s">
        <v>77</v>
      </c>
      <c r="E37" t="s">
        <v>22</v>
      </c>
      <c r="F37" t="s">
        <v>46</v>
      </c>
      <c r="G37">
        <v>50</v>
      </c>
      <c r="H37" t="s">
        <v>24</v>
      </c>
      <c r="I37">
        <v>12120.01</v>
      </c>
      <c r="J37">
        <v>12120.01</v>
      </c>
      <c r="K37">
        <v>12120.01</v>
      </c>
      <c r="L37">
        <v>0</v>
      </c>
      <c r="M37" t="s">
        <v>25</v>
      </c>
      <c r="N37">
        <v>50</v>
      </c>
      <c r="O37" s="2">
        <v>23512.83</v>
      </c>
      <c r="P37" t="s">
        <v>78</v>
      </c>
      <c r="Q37">
        <v>10</v>
      </c>
      <c r="R37">
        <v>15</v>
      </c>
      <c r="S37">
        <v>0</v>
      </c>
      <c r="T37">
        <v>0</v>
      </c>
    </row>
    <row r="38" spans="1:20" x14ac:dyDescent="0.45">
      <c r="A38" t="s">
        <v>19</v>
      </c>
      <c r="C38" t="s">
        <v>76</v>
      </c>
      <c r="D38" t="s">
        <v>77</v>
      </c>
      <c r="E38" t="s">
        <v>22</v>
      </c>
      <c r="F38" t="s">
        <v>50</v>
      </c>
      <c r="G38">
        <v>50</v>
      </c>
      <c r="H38" t="s">
        <v>24</v>
      </c>
      <c r="I38">
        <v>9969.01</v>
      </c>
      <c r="J38">
        <v>9969.01</v>
      </c>
      <c r="K38">
        <v>9969.01</v>
      </c>
      <c r="L38">
        <v>0</v>
      </c>
      <c r="M38" t="s">
        <v>25</v>
      </c>
      <c r="N38">
        <v>50</v>
      </c>
      <c r="O38" s="2">
        <v>19339.89</v>
      </c>
      <c r="P38" t="s">
        <v>78</v>
      </c>
      <c r="Q38">
        <v>10</v>
      </c>
      <c r="R38">
        <v>15</v>
      </c>
      <c r="S38">
        <v>0</v>
      </c>
      <c r="T38">
        <v>0</v>
      </c>
    </row>
    <row r="39" spans="1:20" x14ac:dyDescent="0.45">
      <c r="A39" t="s">
        <v>19</v>
      </c>
      <c r="C39" t="s">
        <v>76</v>
      </c>
      <c r="D39" t="s">
        <v>77</v>
      </c>
      <c r="E39" t="s">
        <v>22</v>
      </c>
      <c r="F39" t="s">
        <v>31</v>
      </c>
      <c r="G39">
        <v>75</v>
      </c>
      <c r="H39" t="s">
        <v>24</v>
      </c>
      <c r="I39">
        <v>3754.89</v>
      </c>
      <c r="J39">
        <v>3754.89</v>
      </c>
      <c r="K39">
        <v>3754.89</v>
      </c>
      <c r="L39">
        <v>0</v>
      </c>
      <c r="M39" t="s">
        <v>25</v>
      </c>
      <c r="N39">
        <v>75</v>
      </c>
      <c r="O39" s="2">
        <v>7284.48</v>
      </c>
      <c r="P39" t="s">
        <v>78</v>
      </c>
      <c r="Q39">
        <v>10</v>
      </c>
      <c r="R39">
        <v>15</v>
      </c>
      <c r="S39">
        <v>0</v>
      </c>
      <c r="T39">
        <v>0</v>
      </c>
    </row>
    <row r="40" spans="1:20" x14ac:dyDescent="0.45">
      <c r="A40" t="s">
        <v>19</v>
      </c>
      <c r="C40" t="s">
        <v>76</v>
      </c>
      <c r="D40" t="s">
        <v>77</v>
      </c>
      <c r="E40" t="s">
        <v>22</v>
      </c>
      <c r="F40" t="s">
        <v>41</v>
      </c>
      <c r="G40">
        <v>75</v>
      </c>
      <c r="H40" t="s">
        <v>24</v>
      </c>
      <c r="I40">
        <v>273.33999999999997</v>
      </c>
      <c r="J40">
        <v>273.33999999999997</v>
      </c>
      <c r="K40">
        <v>273.33999999999997</v>
      </c>
      <c r="L40">
        <v>0</v>
      </c>
      <c r="M40" t="s">
        <v>25</v>
      </c>
      <c r="N40">
        <v>75</v>
      </c>
      <c r="O40" s="2">
        <v>530.27</v>
      </c>
      <c r="P40" t="s">
        <v>78</v>
      </c>
      <c r="Q40">
        <v>10</v>
      </c>
      <c r="R40">
        <v>15</v>
      </c>
      <c r="S40">
        <v>0</v>
      </c>
      <c r="T40">
        <v>0</v>
      </c>
    </row>
    <row r="41" spans="1:20" x14ac:dyDescent="0.45">
      <c r="A41" t="s">
        <v>19</v>
      </c>
      <c r="C41" t="s">
        <v>76</v>
      </c>
      <c r="D41" t="s">
        <v>77</v>
      </c>
      <c r="E41" t="s">
        <v>22</v>
      </c>
      <c r="F41" t="s">
        <v>35</v>
      </c>
      <c r="G41">
        <v>75</v>
      </c>
      <c r="H41" t="s">
        <v>24</v>
      </c>
      <c r="I41">
        <v>8761.4</v>
      </c>
      <c r="J41">
        <v>8761.4</v>
      </c>
      <c r="K41">
        <v>8761.4</v>
      </c>
      <c r="L41">
        <v>0</v>
      </c>
      <c r="M41" t="s">
        <v>25</v>
      </c>
      <c r="N41">
        <v>75</v>
      </c>
      <c r="O41" s="2">
        <v>16997.11</v>
      </c>
      <c r="P41" t="s">
        <v>78</v>
      </c>
      <c r="Q41">
        <v>10</v>
      </c>
      <c r="R41">
        <v>15</v>
      </c>
      <c r="S41">
        <v>0</v>
      </c>
      <c r="T41">
        <v>0</v>
      </c>
    </row>
    <row r="42" spans="1:20" x14ac:dyDescent="0.45">
      <c r="A42" t="s">
        <v>19</v>
      </c>
      <c r="C42" t="s">
        <v>76</v>
      </c>
      <c r="D42" t="s">
        <v>77</v>
      </c>
      <c r="E42" t="s">
        <v>22</v>
      </c>
      <c r="F42" t="s">
        <v>51</v>
      </c>
      <c r="G42">
        <v>50</v>
      </c>
      <c r="H42" t="s">
        <v>24</v>
      </c>
      <c r="I42">
        <v>10653.09</v>
      </c>
      <c r="J42">
        <v>10653.09</v>
      </c>
      <c r="K42">
        <v>10653.09</v>
      </c>
      <c r="L42">
        <v>0</v>
      </c>
      <c r="M42" t="s">
        <v>25</v>
      </c>
      <c r="N42">
        <v>50</v>
      </c>
      <c r="O42" s="2">
        <v>20667</v>
      </c>
      <c r="P42" t="s">
        <v>78</v>
      </c>
      <c r="Q42">
        <v>10</v>
      </c>
      <c r="R42">
        <v>15</v>
      </c>
      <c r="S42">
        <v>0</v>
      </c>
      <c r="T42">
        <v>0</v>
      </c>
    </row>
    <row r="43" spans="1:20" x14ac:dyDescent="0.45">
      <c r="A43" t="s">
        <v>19</v>
      </c>
      <c r="C43" t="s">
        <v>79</v>
      </c>
      <c r="D43" t="s">
        <v>80</v>
      </c>
      <c r="E43" t="s">
        <v>22</v>
      </c>
      <c r="F43" t="s">
        <v>81</v>
      </c>
      <c r="G43">
        <v>70</v>
      </c>
      <c r="H43" t="s">
        <v>24</v>
      </c>
      <c r="I43">
        <v>1899.31</v>
      </c>
      <c r="J43">
        <v>1899.31</v>
      </c>
      <c r="K43">
        <v>1899.31</v>
      </c>
      <c r="L43">
        <v>0</v>
      </c>
      <c r="M43" t="s">
        <v>25</v>
      </c>
      <c r="N43">
        <v>70</v>
      </c>
      <c r="O43" s="2">
        <v>10078797.130000001</v>
      </c>
      <c r="P43" t="s">
        <v>82</v>
      </c>
      <c r="Q43">
        <v>10</v>
      </c>
      <c r="R43">
        <v>41020</v>
      </c>
      <c r="S43">
        <v>0</v>
      </c>
      <c r="T43">
        <v>0</v>
      </c>
    </row>
    <row r="44" spans="1:20" x14ac:dyDescent="0.45">
      <c r="A44" t="s">
        <v>19</v>
      </c>
      <c r="B44" t="s">
        <v>193</v>
      </c>
      <c r="C44" t="s">
        <v>83</v>
      </c>
      <c r="D44" t="s">
        <v>84</v>
      </c>
      <c r="E44" t="s">
        <v>22</v>
      </c>
      <c r="F44" t="s">
        <v>50</v>
      </c>
      <c r="G44">
        <v>10.18</v>
      </c>
      <c r="H44" t="s">
        <v>24</v>
      </c>
      <c r="I44">
        <v>708.15</v>
      </c>
      <c r="J44">
        <v>708.15</v>
      </c>
      <c r="K44">
        <v>708.15</v>
      </c>
      <c r="L44">
        <v>0</v>
      </c>
      <c r="M44" t="s">
        <v>49</v>
      </c>
      <c r="N44">
        <v>10.18</v>
      </c>
      <c r="O44" s="2">
        <v>66601.89</v>
      </c>
      <c r="Q44">
        <v>75</v>
      </c>
      <c r="R44">
        <v>683</v>
      </c>
      <c r="S44">
        <v>59</v>
      </c>
      <c r="T44">
        <v>0</v>
      </c>
    </row>
    <row r="45" spans="1:20" x14ac:dyDescent="0.45">
      <c r="A45" t="s">
        <v>19</v>
      </c>
      <c r="B45" t="s">
        <v>193</v>
      </c>
      <c r="C45" t="s">
        <v>85</v>
      </c>
      <c r="D45" t="s">
        <v>86</v>
      </c>
      <c r="E45" t="s">
        <v>22</v>
      </c>
      <c r="F45" t="s">
        <v>81</v>
      </c>
      <c r="G45">
        <v>32.79</v>
      </c>
      <c r="H45" t="s">
        <v>24</v>
      </c>
      <c r="I45">
        <v>266.91000000000003</v>
      </c>
      <c r="J45">
        <v>266.91000000000003</v>
      </c>
      <c r="K45">
        <v>266.91000000000003</v>
      </c>
      <c r="L45">
        <v>0</v>
      </c>
      <c r="M45" t="s">
        <v>49</v>
      </c>
      <c r="N45">
        <v>32.79</v>
      </c>
      <c r="O45" s="2">
        <v>24731.599999999999</v>
      </c>
      <c r="Q45">
        <v>10</v>
      </c>
      <c r="R45">
        <v>260</v>
      </c>
      <c r="S45">
        <v>59.03</v>
      </c>
      <c r="T45">
        <v>0</v>
      </c>
    </row>
    <row r="46" spans="1:20" x14ac:dyDescent="0.45">
      <c r="A46" t="s">
        <v>19</v>
      </c>
      <c r="C46" t="s">
        <v>87</v>
      </c>
      <c r="D46" t="s">
        <v>88</v>
      </c>
      <c r="E46" t="s">
        <v>22</v>
      </c>
      <c r="F46" t="s">
        <v>44</v>
      </c>
      <c r="G46">
        <v>35</v>
      </c>
      <c r="H46" t="s">
        <v>24</v>
      </c>
      <c r="I46">
        <v>1071.72</v>
      </c>
      <c r="J46">
        <v>1071.72</v>
      </c>
      <c r="K46">
        <v>1071.72</v>
      </c>
      <c r="L46">
        <v>0</v>
      </c>
      <c r="M46" t="s">
        <v>25</v>
      </c>
      <c r="N46">
        <v>35</v>
      </c>
      <c r="O46" s="2">
        <v>12528.45</v>
      </c>
      <c r="P46" t="s">
        <v>89</v>
      </c>
      <c r="Q46">
        <v>3</v>
      </c>
      <c r="R46">
        <v>75</v>
      </c>
      <c r="S46">
        <v>-15.5</v>
      </c>
      <c r="T46">
        <v>0</v>
      </c>
    </row>
    <row r="47" spans="1:20" x14ac:dyDescent="0.45">
      <c r="A47" t="s">
        <v>19</v>
      </c>
      <c r="C47" t="s">
        <v>87</v>
      </c>
      <c r="D47" t="s">
        <v>88</v>
      </c>
      <c r="E47" t="s">
        <v>22</v>
      </c>
      <c r="F47" t="s">
        <v>46</v>
      </c>
      <c r="G47">
        <v>30</v>
      </c>
      <c r="H47" t="s">
        <v>24</v>
      </c>
      <c r="I47">
        <v>7272.01</v>
      </c>
      <c r="J47">
        <v>7272.01</v>
      </c>
      <c r="K47">
        <v>7272.01</v>
      </c>
      <c r="L47">
        <v>0</v>
      </c>
      <c r="M47" t="s">
        <v>25</v>
      </c>
      <c r="N47">
        <v>30</v>
      </c>
      <c r="O47" s="2">
        <v>85009.77</v>
      </c>
      <c r="P47" t="s">
        <v>89</v>
      </c>
      <c r="Q47">
        <v>3</v>
      </c>
      <c r="R47">
        <v>75</v>
      </c>
      <c r="S47">
        <v>-15.5</v>
      </c>
      <c r="T47">
        <v>0</v>
      </c>
    </row>
    <row r="48" spans="1:20" x14ac:dyDescent="0.45">
      <c r="A48" t="s">
        <v>19</v>
      </c>
      <c r="C48" t="s">
        <v>87</v>
      </c>
      <c r="D48" t="s">
        <v>88</v>
      </c>
      <c r="E48" t="s">
        <v>22</v>
      </c>
      <c r="F48" t="s">
        <v>31</v>
      </c>
      <c r="G48">
        <v>35</v>
      </c>
      <c r="H48" t="s">
        <v>24</v>
      </c>
      <c r="I48">
        <v>1752.28</v>
      </c>
      <c r="J48">
        <v>1752.28</v>
      </c>
      <c r="K48">
        <v>1752.28</v>
      </c>
      <c r="L48">
        <v>0</v>
      </c>
      <c r="M48" t="s">
        <v>25</v>
      </c>
      <c r="N48">
        <v>35</v>
      </c>
      <c r="O48" s="2">
        <v>20484.150000000001</v>
      </c>
      <c r="P48" t="s">
        <v>89</v>
      </c>
      <c r="Q48">
        <v>3</v>
      </c>
      <c r="R48">
        <v>75</v>
      </c>
      <c r="S48">
        <v>-15.5</v>
      </c>
      <c r="T48">
        <v>0</v>
      </c>
    </row>
    <row r="49" spans="1:20" x14ac:dyDescent="0.45">
      <c r="A49" t="s">
        <v>19</v>
      </c>
      <c r="C49" t="s">
        <v>87</v>
      </c>
      <c r="D49" t="s">
        <v>88</v>
      </c>
      <c r="E49" t="s">
        <v>22</v>
      </c>
      <c r="F49" t="s">
        <v>41</v>
      </c>
      <c r="G49">
        <v>35</v>
      </c>
      <c r="H49" t="s">
        <v>24</v>
      </c>
      <c r="I49">
        <v>127.56</v>
      </c>
      <c r="J49">
        <v>127.56</v>
      </c>
      <c r="K49">
        <v>127.56</v>
      </c>
      <c r="L49">
        <v>0</v>
      </c>
      <c r="M49" t="s">
        <v>25</v>
      </c>
      <c r="N49">
        <v>35</v>
      </c>
      <c r="O49" s="2">
        <v>1491.14</v>
      </c>
      <c r="P49" t="s">
        <v>89</v>
      </c>
      <c r="Q49">
        <v>3</v>
      </c>
      <c r="R49">
        <v>75</v>
      </c>
      <c r="S49">
        <v>-15.5</v>
      </c>
      <c r="T49">
        <v>0</v>
      </c>
    </row>
    <row r="50" spans="1:20" x14ac:dyDescent="0.45">
      <c r="A50" t="s">
        <v>19</v>
      </c>
      <c r="C50" t="s">
        <v>87</v>
      </c>
      <c r="D50" t="s">
        <v>88</v>
      </c>
      <c r="E50" t="s">
        <v>22</v>
      </c>
      <c r="F50" t="s">
        <v>35</v>
      </c>
      <c r="G50">
        <v>35</v>
      </c>
      <c r="H50" t="s">
        <v>24</v>
      </c>
      <c r="I50">
        <v>4088.65</v>
      </c>
      <c r="J50">
        <v>4088.65</v>
      </c>
      <c r="K50">
        <v>4088.65</v>
      </c>
      <c r="L50">
        <v>0</v>
      </c>
      <c r="M50" t="s">
        <v>25</v>
      </c>
      <c r="N50">
        <v>35</v>
      </c>
      <c r="O50" s="2">
        <v>47796.34</v>
      </c>
      <c r="P50" t="s">
        <v>89</v>
      </c>
      <c r="Q50">
        <v>3</v>
      </c>
      <c r="R50">
        <v>75</v>
      </c>
      <c r="S50">
        <v>-15.5</v>
      </c>
      <c r="T50">
        <v>0</v>
      </c>
    </row>
    <row r="51" spans="1:20" x14ac:dyDescent="0.45">
      <c r="A51" t="s">
        <v>19</v>
      </c>
      <c r="C51" t="s">
        <v>87</v>
      </c>
      <c r="D51" t="s">
        <v>88</v>
      </c>
      <c r="E51" t="s">
        <v>22</v>
      </c>
      <c r="F51" t="s">
        <v>51</v>
      </c>
      <c r="G51">
        <v>50</v>
      </c>
      <c r="H51" t="s">
        <v>24</v>
      </c>
      <c r="I51">
        <v>10653.09</v>
      </c>
      <c r="J51">
        <v>10653.09</v>
      </c>
      <c r="K51">
        <v>10653.09</v>
      </c>
      <c r="L51">
        <v>0</v>
      </c>
      <c r="M51" t="s">
        <v>25</v>
      </c>
      <c r="N51">
        <v>50</v>
      </c>
      <c r="O51" s="2">
        <v>124534.66</v>
      </c>
      <c r="P51" t="s">
        <v>89</v>
      </c>
      <c r="Q51">
        <v>3</v>
      </c>
      <c r="R51">
        <v>75</v>
      </c>
      <c r="S51">
        <v>-15.5</v>
      </c>
      <c r="T51">
        <v>0</v>
      </c>
    </row>
    <row r="52" spans="1:20" x14ac:dyDescent="0.45">
      <c r="A52" t="s">
        <v>19</v>
      </c>
      <c r="B52" t="s">
        <v>193</v>
      </c>
      <c r="C52" t="s">
        <v>90</v>
      </c>
      <c r="D52" t="s">
        <v>91</v>
      </c>
      <c r="E52" t="s">
        <v>22</v>
      </c>
      <c r="F52" t="s">
        <v>44</v>
      </c>
      <c r="G52">
        <v>0.35</v>
      </c>
      <c r="H52" t="s">
        <v>24</v>
      </c>
      <c r="I52">
        <v>10.72</v>
      </c>
      <c r="J52">
        <v>0.46</v>
      </c>
      <c r="K52">
        <v>0.46</v>
      </c>
      <c r="L52">
        <v>0</v>
      </c>
      <c r="M52" t="s">
        <v>25</v>
      </c>
      <c r="N52">
        <v>0.02</v>
      </c>
      <c r="O52" s="2">
        <v>604.76</v>
      </c>
      <c r="Q52">
        <v>75</v>
      </c>
      <c r="R52">
        <v>1042</v>
      </c>
      <c r="S52">
        <v>0</v>
      </c>
      <c r="T52">
        <v>59</v>
      </c>
    </row>
    <row r="53" spans="1:20" x14ac:dyDescent="0.45">
      <c r="A53" t="s">
        <v>19</v>
      </c>
      <c r="B53" t="s">
        <v>193</v>
      </c>
      <c r="C53" t="s">
        <v>90</v>
      </c>
      <c r="D53" t="s">
        <v>91</v>
      </c>
      <c r="E53" t="s">
        <v>22</v>
      </c>
      <c r="F53" t="s">
        <v>46</v>
      </c>
      <c r="G53">
        <v>0.35</v>
      </c>
      <c r="H53" t="s">
        <v>24</v>
      </c>
      <c r="I53">
        <v>84.86</v>
      </c>
      <c r="J53">
        <v>6.31</v>
      </c>
      <c r="K53">
        <v>6.31</v>
      </c>
      <c r="L53">
        <v>0</v>
      </c>
      <c r="M53" t="s">
        <v>25</v>
      </c>
      <c r="N53">
        <v>0.03</v>
      </c>
      <c r="O53" s="2">
        <v>4788.88</v>
      </c>
      <c r="Q53">
        <v>75</v>
      </c>
      <c r="R53">
        <v>1042</v>
      </c>
      <c r="S53">
        <v>0</v>
      </c>
      <c r="T53">
        <v>59</v>
      </c>
    </row>
    <row r="54" spans="1:20" x14ac:dyDescent="0.45">
      <c r="A54" t="s">
        <v>19</v>
      </c>
      <c r="B54" t="s">
        <v>193</v>
      </c>
      <c r="C54" t="s">
        <v>90</v>
      </c>
      <c r="D54" t="s">
        <v>91</v>
      </c>
      <c r="E54" t="s">
        <v>22</v>
      </c>
      <c r="F54" t="s">
        <v>50</v>
      </c>
      <c r="G54">
        <v>0.35</v>
      </c>
      <c r="H54" t="s">
        <v>24</v>
      </c>
      <c r="I54">
        <v>70.03</v>
      </c>
      <c r="J54">
        <v>70.03</v>
      </c>
      <c r="K54">
        <v>70.03</v>
      </c>
      <c r="L54">
        <v>0</v>
      </c>
      <c r="M54" t="s">
        <v>25</v>
      </c>
      <c r="N54">
        <v>0.35</v>
      </c>
      <c r="O54" s="2">
        <v>3951.74</v>
      </c>
      <c r="Q54">
        <v>75</v>
      </c>
      <c r="R54">
        <v>1042</v>
      </c>
      <c r="S54">
        <v>0</v>
      </c>
      <c r="T54">
        <v>59</v>
      </c>
    </row>
    <row r="55" spans="1:20" x14ac:dyDescent="0.45">
      <c r="A55" t="s">
        <v>19</v>
      </c>
      <c r="B55" t="s">
        <v>193</v>
      </c>
      <c r="C55" t="s">
        <v>90</v>
      </c>
      <c r="D55" t="s">
        <v>91</v>
      </c>
      <c r="E55" t="s">
        <v>22</v>
      </c>
      <c r="F55" t="s">
        <v>31</v>
      </c>
      <c r="G55">
        <v>0.35</v>
      </c>
      <c r="H55" t="s">
        <v>24</v>
      </c>
      <c r="I55">
        <v>58.43</v>
      </c>
      <c r="J55">
        <v>5.55</v>
      </c>
      <c r="K55">
        <v>5.55</v>
      </c>
      <c r="L55">
        <v>0</v>
      </c>
      <c r="M55" t="s">
        <v>25</v>
      </c>
      <c r="N55">
        <v>0.03</v>
      </c>
      <c r="O55" s="2">
        <v>3297.15</v>
      </c>
      <c r="Q55">
        <v>75</v>
      </c>
      <c r="R55">
        <v>1042</v>
      </c>
      <c r="S55">
        <v>0</v>
      </c>
      <c r="T55">
        <v>59</v>
      </c>
    </row>
    <row r="56" spans="1:20" x14ac:dyDescent="0.45">
      <c r="A56" t="s">
        <v>19</v>
      </c>
      <c r="B56" t="s">
        <v>193</v>
      </c>
      <c r="C56" t="s">
        <v>90</v>
      </c>
      <c r="D56" t="s">
        <v>91</v>
      </c>
      <c r="E56" t="s">
        <v>22</v>
      </c>
      <c r="F56" t="s">
        <v>41</v>
      </c>
      <c r="G56">
        <v>0.35</v>
      </c>
      <c r="H56" t="s">
        <v>24</v>
      </c>
      <c r="I56">
        <v>1.28</v>
      </c>
      <c r="J56">
        <v>0.99</v>
      </c>
      <c r="K56">
        <v>0.99</v>
      </c>
      <c r="L56">
        <v>0</v>
      </c>
      <c r="M56" t="s">
        <v>25</v>
      </c>
      <c r="N56">
        <v>0.27</v>
      </c>
      <c r="O56" s="2">
        <v>72.23</v>
      </c>
      <c r="Q56">
        <v>75</v>
      </c>
      <c r="R56">
        <v>1042</v>
      </c>
      <c r="S56">
        <v>0</v>
      </c>
      <c r="T56">
        <v>59</v>
      </c>
    </row>
    <row r="57" spans="1:20" x14ac:dyDescent="0.45">
      <c r="A57" t="s">
        <v>92</v>
      </c>
      <c r="C57" t="s">
        <v>93</v>
      </c>
      <c r="D57" t="s">
        <v>94</v>
      </c>
      <c r="E57" t="s">
        <v>39</v>
      </c>
      <c r="F57" t="s">
        <v>95</v>
      </c>
      <c r="G57">
        <v>2500</v>
      </c>
      <c r="H57" t="s">
        <v>68</v>
      </c>
      <c r="I57">
        <v>2500</v>
      </c>
      <c r="J57">
        <v>2500</v>
      </c>
      <c r="K57">
        <v>2500</v>
      </c>
      <c r="L57">
        <v>0</v>
      </c>
      <c r="M57" t="s">
        <v>68</v>
      </c>
      <c r="O57" s="2">
        <v>2075</v>
      </c>
      <c r="P57" t="s">
        <v>96</v>
      </c>
      <c r="Q57">
        <v>20</v>
      </c>
      <c r="R57">
        <v>10.39</v>
      </c>
      <c r="S57">
        <v>0</v>
      </c>
      <c r="T57">
        <v>0</v>
      </c>
    </row>
    <row r="58" spans="1:20" x14ac:dyDescent="0.45">
      <c r="A58" t="s">
        <v>92</v>
      </c>
      <c r="B58" t="s">
        <v>193</v>
      </c>
      <c r="C58" t="s">
        <v>97</v>
      </c>
      <c r="D58" t="s">
        <v>98</v>
      </c>
      <c r="E58" t="s">
        <v>22</v>
      </c>
      <c r="F58" t="s">
        <v>95</v>
      </c>
      <c r="G58">
        <v>70</v>
      </c>
      <c r="H58" t="s">
        <v>24</v>
      </c>
      <c r="I58">
        <v>1347.59</v>
      </c>
      <c r="J58">
        <v>1347.59</v>
      </c>
      <c r="K58">
        <v>1347.59</v>
      </c>
      <c r="L58">
        <v>0</v>
      </c>
      <c r="M58" t="s">
        <v>25</v>
      </c>
      <c r="N58">
        <v>70</v>
      </c>
      <c r="O58" s="2">
        <v>86258.98</v>
      </c>
      <c r="P58" t="s">
        <v>99</v>
      </c>
      <c r="Q58">
        <v>1</v>
      </c>
      <c r="R58">
        <v>0</v>
      </c>
      <c r="S58">
        <v>64.010000000000005</v>
      </c>
      <c r="T58">
        <v>0</v>
      </c>
    </row>
    <row r="59" spans="1:20" x14ac:dyDescent="0.45">
      <c r="A59" t="s">
        <v>100</v>
      </c>
      <c r="C59" t="s">
        <v>101</v>
      </c>
      <c r="D59" t="s">
        <v>102</v>
      </c>
      <c r="E59" t="s">
        <v>22</v>
      </c>
      <c r="F59" t="s">
        <v>103</v>
      </c>
      <c r="G59">
        <v>50</v>
      </c>
      <c r="H59" t="s">
        <v>24</v>
      </c>
      <c r="I59">
        <v>0</v>
      </c>
      <c r="J59">
        <v>0</v>
      </c>
      <c r="K59">
        <v>0</v>
      </c>
      <c r="L59">
        <v>0</v>
      </c>
      <c r="M59" t="s">
        <v>25</v>
      </c>
      <c r="N59">
        <v>0</v>
      </c>
      <c r="O59" s="2">
        <v>0</v>
      </c>
      <c r="P59" t="s">
        <v>104</v>
      </c>
      <c r="Q59">
        <v>20</v>
      </c>
      <c r="R59">
        <v>7134</v>
      </c>
      <c r="S59">
        <v>43</v>
      </c>
      <c r="T59">
        <v>0</v>
      </c>
    </row>
    <row r="60" spans="1:20" x14ac:dyDescent="0.45">
      <c r="A60" t="s">
        <v>100</v>
      </c>
      <c r="C60" t="s">
        <v>101</v>
      </c>
      <c r="D60" t="s">
        <v>102</v>
      </c>
      <c r="E60" t="s">
        <v>22</v>
      </c>
      <c r="F60" t="s">
        <v>105</v>
      </c>
      <c r="G60">
        <v>50</v>
      </c>
      <c r="H60" t="s">
        <v>24</v>
      </c>
      <c r="I60">
        <v>554.76</v>
      </c>
      <c r="J60">
        <v>554.76</v>
      </c>
      <c r="K60">
        <v>554.76</v>
      </c>
      <c r="L60">
        <v>0</v>
      </c>
      <c r="M60" t="s">
        <v>25</v>
      </c>
      <c r="N60">
        <v>50</v>
      </c>
      <c r="O60" s="2">
        <v>341665.61</v>
      </c>
      <c r="P60" t="s">
        <v>104</v>
      </c>
      <c r="Q60">
        <v>20</v>
      </c>
      <c r="R60">
        <v>7134</v>
      </c>
      <c r="S60">
        <v>43</v>
      </c>
      <c r="T60">
        <v>0</v>
      </c>
    </row>
    <row r="61" spans="1:20" x14ac:dyDescent="0.45">
      <c r="A61" t="s">
        <v>100</v>
      </c>
      <c r="C61" t="s">
        <v>101</v>
      </c>
      <c r="D61" t="s">
        <v>102</v>
      </c>
      <c r="E61" t="s">
        <v>22</v>
      </c>
      <c r="F61" t="s">
        <v>106</v>
      </c>
      <c r="G61">
        <v>50</v>
      </c>
      <c r="H61" t="s">
        <v>24</v>
      </c>
      <c r="I61">
        <v>0</v>
      </c>
      <c r="J61">
        <v>0</v>
      </c>
      <c r="K61">
        <v>0</v>
      </c>
      <c r="L61">
        <v>0</v>
      </c>
      <c r="M61" t="s">
        <v>25</v>
      </c>
      <c r="N61">
        <v>0</v>
      </c>
      <c r="O61" s="2">
        <v>0</v>
      </c>
      <c r="P61" t="s">
        <v>104</v>
      </c>
      <c r="Q61">
        <v>20</v>
      </c>
      <c r="R61">
        <v>7134</v>
      </c>
      <c r="S61">
        <v>43</v>
      </c>
      <c r="T61">
        <v>0</v>
      </c>
    </row>
    <row r="62" spans="1:20" x14ac:dyDescent="0.45">
      <c r="A62" t="s">
        <v>100</v>
      </c>
      <c r="B62" t="s">
        <v>193</v>
      </c>
      <c r="C62" t="s">
        <v>107</v>
      </c>
      <c r="D62" t="s">
        <v>108</v>
      </c>
      <c r="E62" t="s">
        <v>39</v>
      </c>
      <c r="F62" t="s">
        <v>109</v>
      </c>
      <c r="G62">
        <v>25</v>
      </c>
      <c r="H62" t="s">
        <v>24</v>
      </c>
      <c r="I62">
        <v>0</v>
      </c>
      <c r="J62">
        <v>0</v>
      </c>
      <c r="K62">
        <v>0</v>
      </c>
      <c r="L62">
        <v>0</v>
      </c>
      <c r="M62" t="s">
        <v>110</v>
      </c>
      <c r="N62">
        <v>0</v>
      </c>
      <c r="O62" s="2">
        <v>0</v>
      </c>
      <c r="P62" t="s">
        <v>111</v>
      </c>
      <c r="Q62">
        <v>25</v>
      </c>
      <c r="R62">
        <v>14193</v>
      </c>
      <c r="S62">
        <v>216</v>
      </c>
      <c r="T62">
        <v>785</v>
      </c>
    </row>
    <row r="63" spans="1:20" x14ac:dyDescent="0.45">
      <c r="A63" t="s">
        <v>100</v>
      </c>
      <c r="B63" t="s">
        <v>193</v>
      </c>
      <c r="C63" t="s">
        <v>107</v>
      </c>
      <c r="D63" t="s">
        <v>108</v>
      </c>
      <c r="E63" t="s">
        <v>39</v>
      </c>
      <c r="F63" t="s">
        <v>112</v>
      </c>
      <c r="G63">
        <v>25</v>
      </c>
      <c r="H63" t="s">
        <v>24</v>
      </c>
      <c r="I63">
        <v>0</v>
      </c>
      <c r="J63">
        <v>0</v>
      </c>
      <c r="K63">
        <v>0</v>
      </c>
      <c r="L63">
        <v>0</v>
      </c>
      <c r="M63" t="s">
        <v>110</v>
      </c>
      <c r="N63">
        <v>0</v>
      </c>
      <c r="O63" s="2">
        <v>0</v>
      </c>
      <c r="P63" t="s">
        <v>111</v>
      </c>
      <c r="Q63">
        <v>25</v>
      </c>
      <c r="R63">
        <v>14193</v>
      </c>
      <c r="S63">
        <v>216</v>
      </c>
      <c r="T63">
        <v>785</v>
      </c>
    </row>
    <row r="64" spans="1:20" x14ac:dyDescent="0.45">
      <c r="A64" t="s">
        <v>100</v>
      </c>
      <c r="B64" t="s">
        <v>193</v>
      </c>
      <c r="C64" t="s">
        <v>107</v>
      </c>
      <c r="D64" t="s">
        <v>108</v>
      </c>
      <c r="E64" t="s">
        <v>39</v>
      </c>
      <c r="F64" t="s">
        <v>113</v>
      </c>
      <c r="G64">
        <v>25</v>
      </c>
      <c r="H64" t="s">
        <v>24</v>
      </c>
      <c r="I64">
        <v>1415.65</v>
      </c>
      <c r="J64">
        <v>1415.65</v>
      </c>
      <c r="K64">
        <v>1415.65</v>
      </c>
      <c r="L64">
        <v>0</v>
      </c>
      <c r="M64" t="s">
        <v>110</v>
      </c>
      <c r="N64">
        <v>25</v>
      </c>
      <c r="O64" s="2">
        <v>1786295.39</v>
      </c>
      <c r="P64" t="s">
        <v>111</v>
      </c>
      <c r="Q64">
        <v>25</v>
      </c>
      <c r="R64">
        <v>14193</v>
      </c>
      <c r="S64">
        <v>216</v>
      </c>
      <c r="T64">
        <v>785</v>
      </c>
    </row>
    <row r="65" spans="1:20" x14ac:dyDescent="0.45">
      <c r="A65" t="s">
        <v>100</v>
      </c>
      <c r="B65" t="s">
        <v>193</v>
      </c>
      <c r="C65" t="s">
        <v>107</v>
      </c>
      <c r="D65" t="s">
        <v>108</v>
      </c>
      <c r="E65" t="s">
        <v>39</v>
      </c>
      <c r="F65" t="s">
        <v>114</v>
      </c>
      <c r="G65">
        <v>25</v>
      </c>
      <c r="H65" t="s">
        <v>24</v>
      </c>
      <c r="I65">
        <v>4172.91</v>
      </c>
      <c r="J65">
        <v>4172.91</v>
      </c>
      <c r="K65">
        <v>4172.91</v>
      </c>
      <c r="L65">
        <v>0</v>
      </c>
      <c r="M65" t="s">
        <v>110</v>
      </c>
      <c r="N65">
        <v>25</v>
      </c>
      <c r="O65" s="2">
        <v>5265464.7699999996</v>
      </c>
      <c r="P65" t="s">
        <v>111</v>
      </c>
      <c r="Q65">
        <v>25</v>
      </c>
      <c r="R65">
        <v>14193</v>
      </c>
      <c r="S65">
        <v>216</v>
      </c>
      <c r="T65">
        <v>785</v>
      </c>
    </row>
    <row r="66" spans="1:20" x14ac:dyDescent="0.45">
      <c r="A66" t="s">
        <v>100</v>
      </c>
      <c r="B66" t="s">
        <v>193</v>
      </c>
      <c r="C66" t="s">
        <v>107</v>
      </c>
      <c r="D66" t="s">
        <v>108</v>
      </c>
      <c r="E66" t="s">
        <v>39</v>
      </c>
      <c r="F66" t="s">
        <v>115</v>
      </c>
      <c r="G66">
        <v>25</v>
      </c>
      <c r="H66" t="s">
        <v>24</v>
      </c>
      <c r="I66">
        <v>0</v>
      </c>
      <c r="J66">
        <v>0</v>
      </c>
      <c r="K66">
        <v>0</v>
      </c>
      <c r="L66">
        <v>0</v>
      </c>
      <c r="M66" t="s">
        <v>110</v>
      </c>
      <c r="N66">
        <v>0</v>
      </c>
      <c r="O66" s="2">
        <v>0</v>
      </c>
      <c r="P66" t="s">
        <v>111</v>
      </c>
      <c r="Q66">
        <v>25</v>
      </c>
      <c r="R66">
        <v>14193</v>
      </c>
      <c r="S66">
        <v>216</v>
      </c>
      <c r="T66">
        <v>785</v>
      </c>
    </row>
    <row r="67" spans="1:20" x14ac:dyDescent="0.45">
      <c r="A67" t="s">
        <v>100</v>
      </c>
      <c r="B67" t="s">
        <v>193</v>
      </c>
      <c r="C67" t="s">
        <v>107</v>
      </c>
      <c r="D67" t="s">
        <v>108</v>
      </c>
      <c r="E67" t="s">
        <v>39</v>
      </c>
      <c r="F67" t="s">
        <v>116</v>
      </c>
      <c r="G67">
        <v>25</v>
      </c>
      <c r="H67" t="s">
        <v>24</v>
      </c>
      <c r="I67">
        <v>0</v>
      </c>
      <c r="J67">
        <v>0</v>
      </c>
      <c r="K67">
        <v>0</v>
      </c>
      <c r="L67">
        <v>0</v>
      </c>
      <c r="M67" t="s">
        <v>110</v>
      </c>
      <c r="N67">
        <v>0</v>
      </c>
      <c r="O67" s="2">
        <v>0</v>
      </c>
      <c r="P67" t="s">
        <v>111</v>
      </c>
      <c r="Q67">
        <v>25</v>
      </c>
      <c r="R67">
        <v>14193</v>
      </c>
      <c r="S67">
        <v>216</v>
      </c>
      <c r="T67">
        <v>785</v>
      </c>
    </row>
    <row r="68" spans="1:20" x14ac:dyDescent="0.45">
      <c r="A68" t="s">
        <v>100</v>
      </c>
      <c r="B68" t="s">
        <v>193</v>
      </c>
      <c r="C68" t="s">
        <v>117</v>
      </c>
      <c r="D68" t="s">
        <v>118</v>
      </c>
      <c r="E68" t="s">
        <v>22</v>
      </c>
      <c r="F68" t="s">
        <v>109</v>
      </c>
      <c r="G68">
        <v>2.41</v>
      </c>
      <c r="H68" t="s">
        <v>24</v>
      </c>
      <c r="I68">
        <v>0</v>
      </c>
      <c r="J68">
        <v>0</v>
      </c>
      <c r="K68">
        <v>0</v>
      </c>
      <c r="L68">
        <v>0</v>
      </c>
      <c r="M68" t="s">
        <v>110</v>
      </c>
      <c r="N68">
        <v>0</v>
      </c>
      <c r="O68" s="2">
        <v>0</v>
      </c>
      <c r="Q68">
        <v>50</v>
      </c>
      <c r="R68">
        <v>10600</v>
      </c>
      <c r="S68">
        <v>170</v>
      </c>
      <c r="T68">
        <v>654</v>
      </c>
    </row>
    <row r="69" spans="1:20" x14ac:dyDescent="0.45">
      <c r="A69" t="s">
        <v>100</v>
      </c>
      <c r="B69" t="s">
        <v>193</v>
      </c>
      <c r="C69" t="s">
        <v>117</v>
      </c>
      <c r="D69" t="s">
        <v>118</v>
      </c>
      <c r="E69" t="s">
        <v>22</v>
      </c>
      <c r="F69" t="s">
        <v>112</v>
      </c>
      <c r="G69">
        <v>2.41</v>
      </c>
      <c r="H69" t="s">
        <v>24</v>
      </c>
      <c r="I69">
        <v>0</v>
      </c>
      <c r="J69">
        <v>0</v>
      </c>
      <c r="K69">
        <v>0</v>
      </c>
      <c r="L69">
        <v>0</v>
      </c>
      <c r="M69" t="s">
        <v>110</v>
      </c>
      <c r="N69">
        <v>0</v>
      </c>
      <c r="O69" s="2">
        <v>0</v>
      </c>
      <c r="Q69">
        <v>50</v>
      </c>
      <c r="R69">
        <v>10600</v>
      </c>
      <c r="S69">
        <v>170</v>
      </c>
      <c r="T69">
        <v>654</v>
      </c>
    </row>
    <row r="70" spans="1:20" x14ac:dyDescent="0.45">
      <c r="A70" t="s">
        <v>100</v>
      </c>
      <c r="B70" t="s">
        <v>193</v>
      </c>
      <c r="C70" t="s">
        <v>117</v>
      </c>
      <c r="D70" t="s">
        <v>118</v>
      </c>
      <c r="E70" t="s">
        <v>22</v>
      </c>
      <c r="F70" t="s">
        <v>113</v>
      </c>
      <c r="G70">
        <v>2.41</v>
      </c>
      <c r="H70" t="s">
        <v>24</v>
      </c>
      <c r="I70">
        <v>141.80000000000001</v>
      </c>
      <c r="J70">
        <v>141.80000000000001</v>
      </c>
      <c r="K70">
        <v>141.80000000000001</v>
      </c>
      <c r="L70">
        <v>0</v>
      </c>
      <c r="M70" t="s">
        <v>110</v>
      </c>
      <c r="N70">
        <v>2.41</v>
      </c>
      <c r="O70" s="2">
        <v>111074.78</v>
      </c>
      <c r="Q70">
        <v>50</v>
      </c>
      <c r="R70">
        <v>10600</v>
      </c>
      <c r="S70">
        <v>170</v>
      </c>
      <c r="T70">
        <v>654</v>
      </c>
    </row>
    <row r="71" spans="1:20" x14ac:dyDescent="0.45">
      <c r="A71" t="s">
        <v>100</v>
      </c>
      <c r="B71" t="s">
        <v>193</v>
      </c>
      <c r="C71" t="s">
        <v>117</v>
      </c>
      <c r="D71" t="s">
        <v>118</v>
      </c>
      <c r="E71" t="s">
        <v>22</v>
      </c>
      <c r="F71" t="s">
        <v>114</v>
      </c>
      <c r="G71">
        <v>2.41</v>
      </c>
      <c r="H71" t="s">
        <v>24</v>
      </c>
      <c r="I71">
        <v>403.52</v>
      </c>
      <c r="J71">
        <v>403.52</v>
      </c>
      <c r="K71">
        <v>403.52</v>
      </c>
      <c r="L71">
        <v>0</v>
      </c>
      <c r="M71" t="s">
        <v>110</v>
      </c>
      <c r="N71">
        <v>2.41</v>
      </c>
      <c r="O71" s="2">
        <v>316089.2</v>
      </c>
      <c r="Q71">
        <v>50</v>
      </c>
      <c r="R71">
        <v>10600</v>
      </c>
      <c r="S71">
        <v>170</v>
      </c>
      <c r="T71">
        <v>654</v>
      </c>
    </row>
    <row r="72" spans="1:20" x14ac:dyDescent="0.45">
      <c r="A72" t="s">
        <v>100</v>
      </c>
      <c r="B72" t="s">
        <v>193</v>
      </c>
      <c r="C72" t="s">
        <v>117</v>
      </c>
      <c r="D72" t="s">
        <v>118</v>
      </c>
      <c r="E72" t="s">
        <v>22</v>
      </c>
      <c r="F72" t="s">
        <v>115</v>
      </c>
      <c r="G72">
        <v>2.41</v>
      </c>
      <c r="H72" t="s">
        <v>24</v>
      </c>
      <c r="I72">
        <v>0</v>
      </c>
      <c r="J72">
        <v>0</v>
      </c>
      <c r="K72">
        <v>0</v>
      </c>
      <c r="L72">
        <v>0</v>
      </c>
      <c r="M72" t="s">
        <v>110</v>
      </c>
      <c r="N72">
        <v>0</v>
      </c>
      <c r="O72" s="2">
        <v>0</v>
      </c>
      <c r="Q72">
        <v>50</v>
      </c>
      <c r="R72">
        <v>10600</v>
      </c>
      <c r="S72">
        <v>170</v>
      </c>
      <c r="T72">
        <v>654</v>
      </c>
    </row>
    <row r="73" spans="1:20" x14ac:dyDescent="0.45">
      <c r="A73" t="s">
        <v>100</v>
      </c>
      <c r="B73" t="s">
        <v>193</v>
      </c>
      <c r="C73" t="s">
        <v>117</v>
      </c>
      <c r="D73" t="s">
        <v>118</v>
      </c>
      <c r="E73" t="s">
        <v>22</v>
      </c>
      <c r="F73" t="s">
        <v>116</v>
      </c>
      <c r="G73">
        <v>2.41</v>
      </c>
      <c r="H73" t="s">
        <v>24</v>
      </c>
      <c r="I73">
        <v>0</v>
      </c>
      <c r="J73">
        <v>0</v>
      </c>
      <c r="K73">
        <v>0</v>
      </c>
      <c r="L73">
        <v>0</v>
      </c>
      <c r="M73" t="s">
        <v>110</v>
      </c>
      <c r="N73">
        <v>0</v>
      </c>
      <c r="O73" s="2">
        <v>0</v>
      </c>
      <c r="Q73">
        <v>50</v>
      </c>
      <c r="R73">
        <v>10600</v>
      </c>
      <c r="S73">
        <v>170</v>
      </c>
      <c r="T73">
        <v>654</v>
      </c>
    </row>
    <row r="74" spans="1:20" x14ac:dyDescent="0.45">
      <c r="A74" t="s">
        <v>100</v>
      </c>
      <c r="B74" t="s">
        <v>193</v>
      </c>
      <c r="C74" t="s">
        <v>119</v>
      </c>
      <c r="D74" t="s">
        <v>120</v>
      </c>
      <c r="E74" t="s">
        <v>22</v>
      </c>
      <c r="F74" t="s">
        <v>109</v>
      </c>
      <c r="G74">
        <v>0.9</v>
      </c>
      <c r="H74" t="s">
        <v>24</v>
      </c>
      <c r="I74">
        <v>0</v>
      </c>
      <c r="J74">
        <v>0</v>
      </c>
      <c r="K74">
        <v>0</v>
      </c>
      <c r="L74">
        <v>0</v>
      </c>
      <c r="M74" t="s">
        <v>110</v>
      </c>
      <c r="N74">
        <v>0</v>
      </c>
      <c r="O74" s="2">
        <v>0</v>
      </c>
      <c r="Q74">
        <v>50</v>
      </c>
      <c r="R74">
        <v>4743</v>
      </c>
      <c r="S74">
        <v>67</v>
      </c>
      <c r="T74">
        <v>1309</v>
      </c>
    </row>
    <row r="75" spans="1:20" x14ac:dyDescent="0.45">
      <c r="A75" t="s">
        <v>100</v>
      </c>
      <c r="B75" t="s">
        <v>193</v>
      </c>
      <c r="C75" t="s">
        <v>119</v>
      </c>
      <c r="D75" t="s">
        <v>120</v>
      </c>
      <c r="E75" t="s">
        <v>22</v>
      </c>
      <c r="F75" t="s">
        <v>112</v>
      </c>
      <c r="G75">
        <v>0.9</v>
      </c>
      <c r="H75" t="s">
        <v>24</v>
      </c>
      <c r="I75">
        <v>0</v>
      </c>
      <c r="J75">
        <v>0</v>
      </c>
      <c r="K75">
        <v>0</v>
      </c>
      <c r="L75">
        <v>0</v>
      </c>
      <c r="M75" t="s">
        <v>110</v>
      </c>
      <c r="N75">
        <v>0</v>
      </c>
      <c r="O75" s="2">
        <v>0</v>
      </c>
      <c r="Q75">
        <v>50</v>
      </c>
      <c r="R75">
        <v>4743</v>
      </c>
      <c r="S75">
        <v>67</v>
      </c>
      <c r="T75">
        <v>1309</v>
      </c>
    </row>
    <row r="76" spans="1:20" x14ac:dyDescent="0.45">
      <c r="A76" t="s">
        <v>100</v>
      </c>
      <c r="B76" t="s">
        <v>193</v>
      </c>
      <c r="C76" t="s">
        <v>119</v>
      </c>
      <c r="D76" t="s">
        <v>120</v>
      </c>
      <c r="E76" t="s">
        <v>22</v>
      </c>
      <c r="F76" t="s">
        <v>113</v>
      </c>
      <c r="G76">
        <v>0.9</v>
      </c>
      <c r="H76" t="s">
        <v>24</v>
      </c>
      <c r="I76">
        <v>52.95</v>
      </c>
      <c r="J76">
        <v>52.95</v>
      </c>
      <c r="K76">
        <v>52.95</v>
      </c>
      <c r="L76">
        <v>0</v>
      </c>
      <c r="M76" t="s">
        <v>110</v>
      </c>
      <c r="N76">
        <v>0.9</v>
      </c>
      <c r="O76" s="2">
        <v>20771.21</v>
      </c>
      <c r="Q76">
        <v>50</v>
      </c>
      <c r="R76">
        <v>4743</v>
      </c>
      <c r="S76">
        <v>67</v>
      </c>
      <c r="T76">
        <v>1309</v>
      </c>
    </row>
    <row r="77" spans="1:20" x14ac:dyDescent="0.45">
      <c r="A77" t="s">
        <v>100</v>
      </c>
      <c r="B77" t="s">
        <v>193</v>
      </c>
      <c r="C77" t="s">
        <v>119</v>
      </c>
      <c r="D77" t="s">
        <v>120</v>
      </c>
      <c r="E77" t="s">
        <v>22</v>
      </c>
      <c r="F77" t="s">
        <v>114</v>
      </c>
      <c r="G77">
        <v>0.9</v>
      </c>
      <c r="H77" t="s">
        <v>24</v>
      </c>
      <c r="I77">
        <v>150.69</v>
      </c>
      <c r="J77">
        <v>150.69</v>
      </c>
      <c r="K77">
        <v>150.69</v>
      </c>
      <c r="L77">
        <v>0</v>
      </c>
      <c r="M77" t="s">
        <v>110</v>
      </c>
      <c r="N77">
        <v>0.9</v>
      </c>
      <c r="O77" s="2">
        <v>59109.33</v>
      </c>
      <c r="Q77">
        <v>50</v>
      </c>
      <c r="R77">
        <v>4743</v>
      </c>
      <c r="S77">
        <v>67</v>
      </c>
      <c r="T77">
        <v>1309</v>
      </c>
    </row>
    <row r="78" spans="1:20" x14ac:dyDescent="0.45">
      <c r="A78" t="s">
        <v>100</v>
      </c>
      <c r="B78" t="s">
        <v>193</v>
      </c>
      <c r="C78" t="s">
        <v>119</v>
      </c>
      <c r="D78" t="s">
        <v>120</v>
      </c>
      <c r="E78" t="s">
        <v>22</v>
      </c>
      <c r="F78" t="s">
        <v>115</v>
      </c>
      <c r="G78">
        <v>0.9</v>
      </c>
      <c r="H78" t="s">
        <v>24</v>
      </c>
      <c r="I78">
        <v>0</v>
      </c>
      <c r="J78">
        <v>0</v>
      </c>
      <c r="K78">
        <v>0</v>
      </c>
      <c r="L78">
        <v>0</v>
      </c>
      <c r="M78" t="s">
        <v>110</v>
      </c>
      <c r="N78">
        <v>0</v>
      </c>
      <c r="O78" s="2">
        <v>0</v>
      </c>
      <c r="Q78">
        <v>50</v>
      </c>
      <c r="R78">
        <v>4743</v>
      </c>
      <c r="S78">
        <v>67</v>
      </c>
      <c r="T78">
        <v>1309</v>
      </c>
    </row>
    <row r="79" spans="1:20" x14ac:dyDescent="0.45">
      <c r="A79" t="s">
        <v>100</v>
      </c>
      <c r="B79" t="s">
        <v>193</v>
      </c>
      <c r="C79" t="s">
        <v>119</v>
      </c>
      <c r="D79" t="s">
        <v>120</v>
      </c>
      <c r="E79" t="s">
        <v>22</v>
      </c>
      <c r="F79" t="s">
        <v>116</v>
      </c>
      <c r="G79">
        <v>0.9</v>
      </c>
      <c r="H79" t="s">
        <v>24</v>
      </c>
      <c r="I79">
        <v>0</v>
      </c>
      <c r="J79">
        <v>0</v>
      </c>
      <c r="K79">
        <v>0</v>
      </c>
      <c r="L79">
        <v>0</v>
      </c>
      <c r="M79" t="s">
        <v>110</v>
      </c>
      <c r="N79">
        <v>0</v>
      </c>
      <c r="O79" s="2">
        <v>0</v>
      </c>
      <c r="Q79">
        <v>50</v>
      </c>
      <c r="R79">
        <v>4743</v>
      </c>
      <c r="S79">
        <v>67</v>
      </c>
      <c r="T79">
        <v>1309</v>
      </c>
    </row>
    <row r="80" spans="1:20" x14ac:dyDescent="0.45">
      <c r="A80" t="s">
        <v>100</v>
      </c>
      <c r="B80" t="s">
        <v>193</v>
      </c>
      <c r="C80" t="s">
        <v>121</v>
      </c>
      <c r="D80" t="s">
        <v>122</v>
      </c>
      <c r="E80" t="s">
        <v>39</v>
      </c>
      <c r="F80" t="s">
        <v>109</v>
      </c>
      <c r="G80">
        <v>20</v>
      </c>
      <c r="H80" t="s">
        <v>24</v>
      </c>
      <c r="I80">
        <v>0</v>
      </c>
      <c r="J80">
        <v>0</v>
      </c>
      <c r="K80">
        <v>0</v>
      </c>
      <c r="L80">
        <v>0</v>
      </c>
      <c r="M80" t="s">
        <v>25</v>
      </c>
      <c r="N80">
        <v>0</v>
      </c>
      <c r="O80" s="2">
        <v>0</v>
      </c>
      <c r="P80" t="s">
        <v>123</v>
      </c>
      <c r="Q80">
        <v>20</v>
      </c>
      <c r="R80">
        <v>6049</v>
      </c>
      <c r="S80">
        <v>430.69</v>
      </c>
      <c r="T80">
        <v>0</v>
      </c>
    </row>
    <row r="81" spans="1:20" x14ac:dyDescent="0.45">
      <c r="A81" t="s">
        <v>100</v>
      </c>
      <c r="B81" t="s">
        <v>193</v>
      </c>
      <c r="C81" t="s">
        <v>121</v>
      </c>
      <c r="D81" t="s">
        <v>122</v>
      </c>
      <c r="E81" t="s">
        <v>39</v>
      </c>
      <c r="F81" t="s">
        <v>113</v>
      </c>
      <c r="G81">
        <v>20</v>
      </c>
      <c r="H81" t="s">
        <v>24</v>
      </c>
      <c r="I81">
        <v>1132.52</v>
      </c>
      <c r="J81">
        <v>1132.52</v>
      </c>
      <c r="K81">
        <v>1132.52</v>
      </c>
      <c r="L81">
        <v>0</v>
      </c>
      <c r="M81" t="s">
        <v>25</v>
      </c>
      <c r="N81">
        <v>20</v>
      </c>
      <c r="O81" s="2">
        <v>1037886.6</v>
      </c>
      <c r="P81" t="s">
        <v>123</v>
      </c>
      <c r="Q81">
        <v>20</v>
      </c>
      <c r="R81">
        <v>6049</v>
      </c>
      <c r="S81">
        <v>430.69</v>
      </c>
      <c r="T81">
        <v>0</v>
      </c>
    </row>
    <row r="82" spans="1:20" x14ac:dyDescent="0.45">
      <c r="A82" t="s">
        <v>100</v>
      </c>
      <c r="B82" t="s">
        <v>193</v>
      </c>
      <c r="C82" t="s">
        <v>124</v>
      </c>
      <c r="D82" t="s">
        <v>125</v>
      </c>
      <c r="E82" t="s">
        <v>22</v>
      </c>
      <c r="F82" t="s">
        <v>109</v>
      </c>
      <c r="G82">
        <v>0.04</v>
      </c>
      <c r="H82" t="s">
        <v>24</v>
      </c>
      <c r="I82">
        <v>0</v>
      </c>
      <c r="J82">
        <v>0</v>
      </c>
      <c r="K82">
        <v>0</v>
      </c>
      <c r="L82">
        <v>0</v>
      </c>
      <c r="M82" t="s">
        <v>110</v>
      </c>
      <c r="N82">
        <v>0</v>
      </c>
      <c r="O82" s="2">
        <v>0</v>
      </c>
      <c r="Q82">
        <v>25</v>
      </c>
      <c r="R82">
        <v>20021</v>
      </c>
      <c r="S82">
        <v>773</v>
      </c>
      <c r="T82">
        <v>654</v>
      </c>
    </row>
    <row r="83" spans="1:20" x14ac:dyDescent="0.45">
      <c r="A83" t="s">
        <v>100</v>
      </c>
      <c r="B83" t="s">
        <v>193</v>
      </c>
      <c r="C83" t="s">
        <v>124</v>
      </c>
      <c r="D83" t="s">
        <v>125</v>
      </c>
      <c r="E83" t="s">
        <v>22</v>
      </c>
      <c r="F83" t="s">
        <v>112</v>
      </c>
      <c r="G83">
        <v>0.04</v>
      </c>
      <c r="H83" t="s">
        <v>24</v>
      </c>
      <c r="I83">
        <v>0</v>
      </c>
      <c r="J83">
        <v>0</v>
      </c>
      <c r="K83">
        <v>0</v>
      </c>
      <c r="L83">
        <v>0</v>
      </c>
      <c r="M83" t="s">
        <v>110</v>
      </c>
      <c r="N83">
        <v>0</v>
      </c>
      <c r="O83" s="2">
        <v>0</v>
      </c>
      <c r="Q83">
        <v>25</v>
      </c>
      <c r="R83">
        <v>20021</v>
      </c>
      <c r="S83">
        <v>773</v>
      </c>
      <c r="T83">
        <v>654</v>
      </c>
    </row>
    <row r="84" spans="1:20" x14ac:dyDescent="0.45">
      <c r="A84" t="s">
        <v>100</v>
      </c>
      <c r="B84" t="s">
        <v>193</v>
      </c>
      <c r="C84" t="s">
        <v>124</v>
      </c>
      <c r="D84" t="s">
        <v>125</v>
      </c>
      <c r="E84" t="s">
        <v>22</v>
      </c>
      <c r="F84" t="s">
        <v>113</v>
      </c>
      <c r="G84">
        <v>0.04</v>
      </c>
      <c r="H84" t="s">
        <v>24</v>
      </c>
      <c r="I84">
        <v>2.35</v>
      </c>
      <c r="J84">
        <v>2.35</v>
      </c>
      <c r="K84">
        <v>2.35</v>
      </c>
      <c r="L84">
        <v>0</v>
      </c>
      <c r="M84" t="s">
        <v>110</v>
      </c>
      <c r="N84">
        <v>0.04</v>
      </c>
      <c r="O84" s="2">
        <v>5236.84</v>
      </c>
      <c r="Q84">
        <v>25</v>
      </c>
      <c r="R84">
        <v>20021</v>
      </c>
      <c r="S84">
        <v>773</v>
      </c>
      <c r="T84">
        <v>654</v>
      </c>
    </row>
    <row r="85" spans="1:20" x14ac:dyDescent="0.45">
      <c r="A85" t="s">
        <v>100</v>
      </c>
      <c r="B85" t="s">
        <v>193</v>
      </c>
      <c r="C85" t="s">
        <v>124</v>
      </c>
      <c r="D85" t="s">
        <v>125</v>
      </c>
      <c r="E85" t="s">
        <v>22</v>
      </c>
      <c r="F85" t="s">
        <v>114</v>
      </c>
      <c r="G85">
        <v>0.04</v>
      </c>
      <c r="H85" t="s">
        <v>24</v>
      </c>
      <c r="I85">
        <v>6.7</v>
      </c>
      <c r="J85">
        <v>6.7</v>
      </c>
      <c r="K85">
        <v>6.7</v>
      </c>
      <c r="L85">
        <v>0</v>
      </c>
      <c r="M85" t="s">
        <v>110</v>
      </c>
      <c r="N85">
        <v>0.04</v>
      </c>
      <c r="O85" s="2">
        <v>14909.29</v>
      </c>
      <c r="Q85">
        <v>25</v>
      </c>
      <c r="R85">
        <v>20021</v>
      </c>
      <c r="S85">
        <v>773</v>
      </c>
      <c r="T85">
        <v>654</v>
      </c>
    </row>
    <row r="86" spans="1:20" x14ac:dyDescent="0.45">
      <c r="A86" t="s">
        <v>100</v>
      </c>
      <c r="B86" t="s">
        <v>193</v>
      </c>
      <c r="C86" t="s">
        <v>124</v>
      </c>
      <c r="D86" t="s">
        <v>125</v>
      </c>
      <c r="E86" t="s">
        <v>22</v>
      </c>
      <c r="F86" t="s">
        <v>115</v>
      </c>
      <c r="G86">
        <v>0.04</v>
      </c>
      <c r="H86" t="s">
        <v>24</v>
      </c>
      <c r="I86">
        <v>0</v>
      </c>
      <c r="J86">
        <v>0</v>
      </c>
      <c r="K86">
        <v>0</v>
      </c>
      <c r="L86">
        <v>0</v>
      </c>
      <c r="M86" t="s">
        <v>110</v>
      </c>
      <c r="N86">
        <v>0</v>
      </c>
      <c r="O86" s="2">
        <v>0</v>
      </c>
      <c r="Q86">
        <v>25</v>
      </c>
      <c r="R86">
        <v>20021</v>
      </c>
      <c r="S86">
        <v>773</v>
      </c>
      <c r="T86">
        <v>654</v>
      </c>
    </row>
    <row r="87" spans="1:20" x14ac:dyDescent="0.45">
      <c r="A87" t="s">
        <v>100</v>
      </c>
      <c r="B87" t="s">
        <v>193</v>
      </c>
      <c r="C87" t="s">
        <v>124</v>
      </c>
      <c r="D87" t="s">
        <v>125</v>
      </c>
      <c r="E87" t="s">
        <v>22</v>
      </c>
      <c r="F87" t="s">
        <v>116</v>
      </c>
      <c r="G87">
        <v>0.04</v>
      </c>
      <c r="H87" t="s">
        <v>24</v>
      </c>
      <c r="I87">
        <v>0</v>
      </c>
      <c r="J87">
        <v>0</v>
      </c>
      <c r="K87">
        <v>0</v>
      </c>
      <c r="L87">
        <v>0</v>
      </c>
      <c r="M87" t="s">
        <v>110</v>
      </c>
      <c r="N87">
        <v>0</v>
      </c>
      <c r="O87" s="2">
        <v>0</v>
      </c>
      <c r="Q87">
        <v>25</v>
      </c>
      <c r="R87">
        <v>20021</v>
      </c>
      <c r="S87">
        <v>773</v>
      </c>
      <c r="T87">
        <v>654</v>
      </c>
    </row>
    <row r="88" spans="1:20" x14ac:dyDescent="0.45">
      <c r="A88" t="s">
        <v>100</v>
      </c>
      <c r="B88" t="s">
        <v>193</v>
      </c>
      <c r="C88" t="s">
        <v>126</v>
      </c>
      <c r="D88" t="s">
        <v>127</v>
      </c>
      <c r="E88" t="s">
        <v>39</v>
      </c>
      <c r="F88" t="s">
        <v>112</v>
      </c>
      <c r="G88">
        <v>10</v>
      </c>
      <c r="H88" t="s">
        <v>24</v>
      </c>
      <c r="I88">
        <v>0</v>
      </c>
      <c r="J88">
        <v>0</v>
      </c>
      <c r="K88">
        <v>0</v>
      </c>
      <c r="L88">
        <v>0</v>
      </c>
      <c r="M88" t="s">
        <v>49</v>
      </c>
      <c r="N88">
        <v>0</v>
      </c>
      <c r="O88" s="2">
        <v>0</v>
      </c>
      <c r="P88" t="s">
        <v>128</v>
      </c>
      <c r="Q88">
        <v>75</v>
      </c>
      <c r="R88">
        <v>683.38</v>
      </c>
      <c r="S88">
        <v>0</v>
      </c>
      <c r="T88">
        <v>0</v>
      </c>
    </row>
    <row r="89" spans="1:20" x14ac:dyDescent="0.45">
      <c r="A89" t="s">
        <v>100</v>
      </c>
      <c r="B89" t="s">
        <v>193</v>
      </c>
      <c r="C89" t="s">
        <v>126</v>
      </c>
      <c r="D89" t="s">
        <v>127</v>
      </c>
      <c r="E89" t="s">
        <v>39</v>
      </c>
      <c r="F89" t="s">
        <v>114</v>
      </c>
      <c r="G89">
        <v>10</v>
      </c>
      <c r="H89" t="s">
        <v>24</v>
      </c>
      <c r="I89">
        <v>1952.24</v>
      </c>
      <c r="J89">
        <v>1952.24</v>
      </c>
      <c r="K89">
        <v>1952.24</v>
      </c>
      <c r="L89">
        <v>0</v>
      </c>
      <c r="M89" t="s">
        <v>49</v>
      </c>
      <c r="N89">
        <v>10</v>
      </c>
      <c r="O89" s="2">
        <v>68465.06</v>
      </c>
      <c r="P89" t="s">
        <v>128</v>
      </c>
      <c r="Q89">
        <v>75</v>
      </c>
      <c r="R89">
        <v>683.38</v>
      </c>
      <c r="S89">
        <v>0</v>
      </c>
      <c r="T89">
        <v>0</v>
      </c>
    </row>
    <row r="90" spans="1:20" x14ac:dyDescent="0.45">
      <c r="A90" t="s">
        <v>100</v>
      </c>
      <c r="B90" t="s">
        <v>193</v>
      </c>
      <c r="C90" t="s">
        <v>129</v>
      </c>
      <c r="D90" t="s">
        <v>130</v>
      </c>
      <c r="E90" t="s">
        <v>39</v>
      </c>
      <c r="F90" t="s">
        <v>112</v>
      </c>
      <c r="G90">
        <v>40</v>
      </c>
      <c r="H90" t="s">
        <v>24</v>
      </c>
      <c r="I90">
        <v>0</v>
      </c>
      <c r="J90">
        <v>0</v>
      </c>
      <c r="K90">
        <v>0</v>
      </c>
      <c r="L90">
        <v>0</v>
      </c>
      <c r="M90" t="s">
        <v>25</v>
      </c>
      <c r="N90">
        <v>0</v>
      </c>
      <c r="O90" s="2">
        <v>0</v>
      </c>
      <c r="P90" t="s">
        <v>59</v>
      </c>
      <c r="Q90">
        <v>3</v>
      </c>
      <c r="R90">
        <v>52.5</v>
      </c>
      <c r="S90">
        <v>0</v>
      </c>
      <c r="T90">
        <v>0</v>
      </c>
    </row>
    <row r="91" spans="1:20" x14ac:dyDescent="0.45">
      <c r="A91" t="s">
        <v>100</v>
      </c>
      <c r="B91" t="s">
        <v>193</v>
      </c>
      <c r="C91" t="s">
        <v>129</v>
      </c>
      <c r="D91" t="s">
        <v>130</v>
      </c>
      <c r="E91" t="s">
        <v>39</v>
      </c>
      <c r="F91" t="s">
        <v>114</v>
      </c>
      <c r="G91">
        <v>40</v>
      </c>
      <c r="H91" t="s">
        <v>24</v>
      </c>
      <c r="I91">
        <v>6676.66</v>
      </c>
      <c r="J91">
        <v>6676.66</v>
      </c>
      <c r="K91">
        <v>6676.66</v>
      </c>
      <c r="L91">
        <v>0</v>
      </c>
      <c r="M91" t="s">
        <v>25</v>
      </c>
      <c r="N91">
        <v>40</v>
      </c>
      <c r="O91" s="2">
        <v>127056.86</v>
      </c>
      <c r="P91" t="s">
        <v>59</v>
      </c>
      <c r="Q91">
        <v>3</v>
      </c>
      <c r="R91">
        <v>52.5</v>
      </c>
      <c r="S91">
        <v>0</v>
      </c>
      <c r="T91">
        <v>0</v>
      </c>
    </row>
    <row r="92" spans="1:20" x14ac:dyDescent="0.45">
      <c r="A92" t="s">
        <v>100</v>
      </c>
      <c r="B92" t="s">
        <v>193</v>
      </c>
      <c r="C92" t="s">
        <v>129</v>
      </c>
      <c r="D92" t="s">
        <v>130</v>
      </c>
      <c r="E92" t="s">
        <v>39</v>
      </c>
      <c r="F92" t="s">
        <v>116</v>
      </c>
      <c r="G92">
        <v>40</v>
      </c>
      <c r="H92" t="s">
        <v>24</v>
      </c>
      <c r="I92">
        <v>0</v>
      </c>
      <c r="J92">
        <v>0</v>
      </c>
      <c r="K92">
        <v>0</v>
      </c>
      <c r="L92">
        <v>0</v>
      </c>
      <c r="M92" t="s">
        <v>25</v>
      </c>
      <c r="N92">
        <v>0</v>
      </c>
      <c r="O92" s="2">
        <v>0</v>
      </c>
      <c r="P92" t="s">
        <v>59</v>
      </c>
      <c r="Q92">
        <v>3</v>
      </c>
      <c r="R92">
        <v>52.5</v>
      </c>
      <c r="S92">
        <v>0</v>
      </c>
      <c r="T92">
        <v>0</v>
      </c>
    </row>
    <row r="93" spans="1:20" x14ac:dyDescent="0.45">
      <c r="A93" t="s">
        <v>100</v>
      </c>
      <c r="B93" t="s">
        <v>193</v>
      </c>
      <c r="C93" t="s">
        <v>131</v>
      </c>
      <c r="D93" t="s">
        <v>132</v>
      </c>
      <c r="E93" t="s">
        <v>39</v>
      </c>
      <c r="F93" t="s">
        <v>109</v>
      </c>
      <c r="G93">
        <v>100</v>
      </c>
      <c r="H93" t="s">
        <v>68</v>
      </c>
      <c r="I93">
        <v>100</v>
      </c>
      <c r="J93">
        <v>100</v>
      </c>
      <c r="K93">
        <v>0</v>
      </c>
      <c r="L93">
        <v>100</v>
      </c>
      <c r="M93" t="s">
        <v>68</v>
      </c>
      <c r="O93" s="2">
        <v>0</v>
      </c>
      <c r="P93" t="s">
        <v>133</v>
      </c>
      <c r="Q93">
        <v>20</v>
      </c>
      <c r="R93">
        <v>645</v>
      </c>
      <c r="S93">
        <v>8.6</v>
      </c>
      <c r="T93">
        <v>0</v>
      </c>
    </row>
    <row r="94" spans="1:20" x14ac:dyDescent="0.45">
      <c r="A94" t="s">
        <v>100</v>
      </c>
      <c r="B94" t="s">
        <v>193</v>
      </c>
      <c r="C94" t="s">
        <v>131</v>
      </c>
      <c r="D94" t="s">
        <v>132</v>
      </c>
      <c r="E94" t="s">
        <v>39</v>
      </c>
      <c r="F94" t="s">
        <v>112</v>
      </c>
      <c r="G94">
        <v>100</v>
      </c>
      <c r="H94" t="s">
        <v>68</v>
      </c>
      <c r="I94">
        <v>100</v>
      </c>
      <c r="J94">
        <v>100</v>
      </c>
      <c r="K94">
        <v>0</v>
      </c>
      <c r="L94">
        <v>100</v>
      </c>
      <c r="M94" t="s">
        <v>68</v>
      </c>
      <c r="O94" s="2">
        <v>0</v>
      </c>
      <c r="P94" t="s">
        <v>133</v>
      </c>
      <c r="Q94">
        <v>20</v>
      </c>
      <c r="R94">
        <v>645</v>
      </c>
      <c r="S94">
        <v>8.6</v>
      </c>
      <c r="T94">
        <v>0</v>
      </c>
    </row>
    <row r="95" spans="1:20" x14ac:dyDescent="0.45">
      <c r="A95" t="s">
        <v>100</v>
      </c>
      <c r="B95" t="s">
        <v>193</v>
      </c>
      <c r="C95" t="s">
        <v>131</v>
      </c>
      <c r="D95" t="s">
        <v>132</v>
      </c>
      <c r="E95" t="s">
        <v>39</v>
      </c>
      <c r="F95" t="s">
        <v>113</v>
      </c>
      <c r="G95">
        <v>100</v>
      </c>
      <c r="H95" t="s">
        <v>68</v>
      </c>
      <c r="I95">
        <v>100</v>
      </c>
      <c r="J95">
        <v>100</v>
      </c>
      <c r="K95">
        <v>100</v>
      </c>
      <c r="L95">
        <v>0</v>
      </c>
      <c r="M95" t="s">
        <v>68</v>
      </c>
      <c r="O95" s="2">
        <v>6040.06</v>
      </c>
      <c r="P95" t="s">
        <v>133</v>
      </c>
      <c r="Q95">
        <v>20</v>
      </c>
      <c r="R95">
        <v>645</v>
      </c>
      <c r="S95">
        <v>8.6</v>
      </c>
      <c r="T95">
        <v>0</v>
      </c>
    </row>
    <row r="96" spans="1:20" x14ac:dyDescent="0.45">
      <c r="A96" t="s">
        <v>100</v>
      </c>
      <c r="B96" t="s">
        <v>193</v>
      </c>
      <c r="C96" t="s">
        <v>131</v>
      </c>
      <c r="D96" t="s">
        <v>132</v>
      </c>
      <c r="E96" t="s">
        <v>39</v>
      </c>
      <c r="F96" t="s">
        <v>114</v>
      </c>
      <c r="G96">
        <v>100</v>
      </c>
      <c r="H96" t="s">
        <v>68</v>
      </c>
      <c r="I96">
        <v>100</v>
      </c>
      <c r="J96">
        <v>100</v>
      </c>
      <c r="K96">
        <v>100</v>
      </c>
      <c r="L96">
        <v>0</v>
      </c>
      <c r="M96" t="s">
        <v>68</v>
      </c>
      <c r="O96" s="2">
        <v>6040</v>
      </c>
      <c r="P96" t="s">
        <v>133</v>
      </c>
      <c r="Q96">
        <v>20</v>
      </c>
      <c r="R96">
        <v>645</v>
      </c>
      <c r="S96">
        <v>8.6</v>
      </c>
      <c r="T96">
        <v>0</v>
      </c>
    </row>
    <row r="97" spans="1:20" x14ac:dyDescent="0.45">
      <c r="A97" t="s">
        <v>100</v>
      </c>
      <c r="B97" t="s">
        <v>193</v>
      </c>
      <c r="C97" t="s">
        <v>134</v>
      </c>
      <c r="D97" t="s">
        <v>135</v>
      </c>
      <c r="E97" t="s">
        <v>22</v>
      </c>
      <c r="F97" t="s">
        <v>114</v>
      </c>
      <c r="G97">
        <v>5</v>
      </c>
      <c r="H97" t="s">
        <v>24</v>
      </c>
      <c r="I97">
        <v>881.25</v>
      </c>
      <c r="J97">
        <v>881.25</v>
      </c>
      <c r="K97">
        <v>881.25</v>
      </c>
      <c r="L97">
        <v>0</v>
      </c>
      <c r="M97" t="s">
        <v>25</v>
      </c>
      <c r="N97">
        <v>5</v>
      </c>
      <c r="O97" s="2">
        <v>47129.2</v>
      </c>
      <c r="P97" t="s">
        <v>136</v>
      </c>
      <c r="Q97">
        <v>75</v>
      </c>
      <c r="R97">
        <v>1042</v>
      </c>
      <c r="S97">
        <v>0</v>
      </c>
      <c r="T97">
        <v>0</v>
      </c>
    </row>
    <row r="98" spans="1:20" x14ac:dyDescent="0.45">
      <c r="A98" t="s">
        <v>100</v>
      </c>
      <c r="B98" t="s">
        <v>193</v>
      </c>
      <c r="C98" t="s">
        <v>137</v>
      </c>
      <c r="D98" t="s">
        <v>138</v>
      </c>
      <c r="E98" t="s">
        <v>22</v>
      </c>
      <c r="F98" t="s">
        <v>109</v>
      </c>
      <c r="G98">
        <v>1.68</v>
      </c>
      <c r="H98" t="s">
        <v>24</v>
      </c>
      <c r="I98">
        <v>0</v>
      </c>
      <c r="J98">
        <v>0</v>
      </c>
      <c r="K98">
        <v>0</v>
      </c>
      <c r="L98">
        <v>0</v>
      </c>
      <c r="M98" t="s">
        <v>110</v>
      </c>
      <c r="N98">
        <v>0</v>
      </c>
      <c r="O98" s="2">
        <v>0</v>
      </c>
      <c r="Q98">
        <v>50</v>
      </c>
      <c r="R98">
        <v>5682</v>
      </c>
      <c r="S98">
        <v>106</v>
      </c>
      <c r="T98">
        <v>523</v>
      </c>
    </row>
    <row r="99" spans="1:20" x14ac:dyDescent="0.45">
      <c r="A99" t="s">
        <v>100</v>
      </c>
      <c r="B99" t="s">
        <v>193</v>
      </c>
      <c r="C99" t="s">
        <v>137</v>
      </c>
      <c r="D99" t="s">
        <v>138</v>
      </c>
      <c r="E99" t="s">
        <v>22</v>
      </c>
      <c r="F99" t="s">
        <v>112</v>
      </c>
      <c r="G99">
        <v>1.68</v>
      </c>
      <c r="H99" t="s">
        <v>24</v>
      </c>
      <c r="I99">
        <v>0</v>
      </c>
      <c r="J99">
        <v>0</v>
      </c>
      <c r="K99">
        <v>0</v>
      </c>
      <c r="L99">
        <v>0</v>
      </c>
      <c r="M99" t="s">
        <v>110</v>
      </c>
      <c r="N99">
        <v>0</v>
      </c>
      <c r="O99" s="2">
        <v>0</v>
      </c>
      <c r="Q99">
        <v>50</v>
      </c>
      <c r="R99">
        <v>5682</v>
      </c>
      <c r="S99">
        <v>106</v>
      </c>
      <c r="T99">
        <v>523</v>
      </c>
    </row>
    <row r="100" spans="1:20" x14ac:dyDescent="0.45">
      <c r="A100" t="s">
        <v>100</v>
      </c>
      <c r="B100" t="s">
        <v>193</v>
      </c>
      <c r="C100" t="s">
        <v>137</v>
      </c>
      <c r="D100" t="s">
        <v>138</v>
      </c>
      <c r="E100" t="s">
        <v>22</v>
      </c>
      <c r="F100" t="s">
        <v>113</v>
      </c>
      <c r="G100">
        <v>1.68</v>
      </c>
      <c r="H100" t="s">
        <v>24</v>
      </c>
      <c r="I100">
        <v>98.84</v>
      </c>
      <c r="J100">
        <v>98.84</v>
      </c>
      <c r="K100">
        <v>98.84</v>
      </c>
      <c r="L100">
        <v>0</v>
      </c>
      <c r="M100" t="s">
        <v>110</v>
      </c>
      <c r="N100">
        <v>1.68</v>
      </c>
      <c r="O100" s="2">
        <v>43825.45</v>
      </c>
      <c r="Q100">
        <v>50</v>
      </c>
      <c r="R100">
        <v>5682</v>
      </c>
      <c r="S100">
        <v>106</v>
      </c>
      <c r="T100">
        <v>523</v>
      </c>
    </row>
    <row r="101" spans="1:20" x14ac:dyDescent="0.45">
      <c r="A101" t="s">
        <v>100</v>
      </c>
      <c r="B101" t="s">
        <v>193</v>
      </c>
      <c r="C101" t="s">
        <v>137</v>
      </c>
      <c r="D101" t="s">
        <v>138</v>
      </c>
      <c r="E101" t="s">
        <v>22</v>
      </c>
      <c r="F101" t="s">
        <v>114</v>
      </c>
      <c r="G101">
        <v>1.68</v>
      </c>
      <c r="H101" t="s">
        <v>24</v>
      </c>
      <c r="I101">
        <v>281.29000000000002</v>
      </c>
      <c r="J101">
        <v>281.29000000000002</v>
      </c>
      <c r="K101">
        <v>281.29000000000002</v>
      </c>
      <c r="L101">
        <v>0</v>
      </c>
      <c r="M101" t="s">
        <v>110</v>
      </c>
      <c r="N101">
        <v>1.68</v>
      </c>
      <c r="O101" s="2">
        <v>124719.69</v>
      </c>
      <c r="Q101">
        <v>50</v>
      </c>
      <c r="R101">
        <v>5682</v>
      </c>
      <c r="S101">
        <v>106</v>
      </c>
      <c r="T101">
        <v>523</v>
      </c>
    </row>
    <row r="102" spans="1:20" x14ac:dyDescent="0.45">
      <c r="A102" t="s">
        <v>100</v>
      </c>
      <c r="B102" t="s">
        <v>193</v>
      </c>
      <c r="C102" t="s">
        <v>137</v>
      </c>
      <c r="D102" t="s">
        <v>138</v>
      </c>
      <c r="E102" t="s">
        <v>22</v>
      </c>
      <c r="F102" t="s">
        <v>115</v>
      </c>
      <c r="G102">
        <v>1.68</v>
      </c>
      <c r="H102" t="s">
        <v>24</v>
      </c>
      <c r="I102">
        <v>0</v>
      </c>
      <c r="J102">
        <v>0</v>
      </c>
      <c r="K102">
        <v>0</v>
      </c>
      <c r="L102">
        <v>0</v>
      </c>
      <c r="M102" t="s">
        <v>110</v>
      </c>
      <c r="N102">
        <v>0</v>
      </c>
      <c r="O102" s="2">
        <v>0</v>
      </c>
      <c r="Q102">
        <v>50</v>
      </c>
      <c r="R102">
        <v>5682</v>
      </c>
      <c r="S102">
        <v>106</v>
      </c>
      <c r="T102">
        <v>523</v>
      </c>
    </row>
    <row r="103" spans="1:20" x14ac:dyDescent="0.45">
      <c r="A103" t="s">
        <v>100</v>
      </c>
      <c r="B103" t="s">
        <v>193</v>
      </c>
      <c r="C103" t="s">
        <v>137</v>
      </c>
      <c r="D103" t="s">
        <v>138</v>
      </c>
      <c r="E103" t="s">
        <v>22</v>
      </c>
      <c r="F103" t="s">
        <v>116</v>
      </c>
      <c r="G103">
        <v>1.68</v>
      </c>
      <c r="H103" t="s">
        <v>24</v>
      </c>
      <c r="I103">
        <v>0</v>
      </c>
      <c r="J103">
        <v>0</v>
      </c>
      <c r="K103">
        <v>0</v>
      </c>
      <c r="L103">
        <v>0</v>
      </c>
      <c r="M103" t="s">
        <v>110</v>
      </c>
      <c r="N103">
        <v>0</v>
      </c>
      <c r="O103" s="2">
        <v>0</v>
      </c>
      <c r="Q103">
        <v>50</v>
      </c>
      <c r="R103">
        <v>5682</v>
      </c>
      <c r="S103">
        <v>106</v>
      </c>
      <c r="T103">
        <v>523</v>
      </c>
    </row>
  </sheetData>
  <pageMargins left="0.75" right="0.75" top="0.75" bottom="0.5" header="0.5" footer="0.75"/>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sqref="A1:D1"/>
    </sheetView>
  </sheetViews>
  <sheetFormatPr defaultRowHeight="14.25" x14ac:dyDescent="0.45"/>
  <cols>
    <col min="1" max="1" width="49.1328125" customWidth="1"/>
    <col min="2" max="2" width="16.3984375" customWidth="1"/>
    <col min="3" max="3" width="17.3984375" customWidth="1"/>
    <col min="4" max="4" width="14.73046875" customWidth="1"/>
    <col min="5" max="5" width="15.73046875" customWidth="1"/>
    <col min="6" max="6" width="19.3984375" customWidth="1"/>
    <col min="7" max="7" width="24.265625" customWidth="1"/>
    <col min="8" max="8" width="12.73046875" customWidth="1"/>
    <col min="9" max="9" width="12.3984375" customWidth="1"/>
    <col min="10" max="10" width="21.59765625" customWidth="1"/>
    <col min="11" max="11" width="21.1328125" customWidth="1"/>
    <col min="12" max="12" width="71.3984375" customWidth="1"/>
    <col min="13" max="13" width="15" customWidth="1"/>
    <col min="14" max="14" width="10.59765625" customWidth="1"/>
    <col min="15" max="15" width="9.3984375" customWidth="1"/>
    <col min="16" max="16" width="13.86328125" customWidth="1"/>
  </cols>
  <sheetData>
    <row r="1" spans="1:16" x14ac:dyDescent="0.45">
      <c r="A1" t="s">
        <v>1</v>
      </c>
      <c r="B1" t="s">
        <v>2</v>
      </c>
      <c r="C1" t="s">
        <v>139</v>
      </c>
      <c r="D1" t="s">
        <v>140</v>
      </c>
      <c r="E1" t="s">
        <v>4</v>
      </c>
      <c r="F1" t="s">
        <v>5</v>
      </c>
      <c r="G1" t="s">
        <v>6</v>
      </c>
      <c r="H1" t="s">
        <v>141</v>
      </c>
      <c r="I1" t="s">
        <v>142</v>
      </c>
      <c r="J1" t="s">
        <v>143</v>
      </c>
      <c r="K1" t="s">
        <v>13</v>
      </c>
      <c r="L1" t="s">
        <v>14</v>
      </c>
      <c r="M1" t="s">
        <v>15</v>
      </c>
      <c r="N1" t="s">
        <v>16</v>
      </c>
      <c r="O1" t="s">
        <v>17</v>
      </c>
      <c r="P1" t="s">
        <v>18</v>
      </c>
    </row>
    <row r="2" spans="1:16" x14ac:dyDescent="0.45">
      <c r="A2" t="s">
        <v>144</v>
      </c>
      <c r="B2" t="s">
        <v>145</v>
      </c>
      <c r="C2" t="s">
        <v>22</v>
      </c>
      <c r="D2" t="s">
        <v>146</v>
      </c>
      <c r="E2" t="s">
        <v>147</v>
      </c>
      <c r="F2">
        <v>100</v>
      </c>
      <c r="G2" t="s">
        <v>148</v>
      </c>
      <c r="H2">
        <v>0</v>
      </c>
      <c r="I2">
        <v>21.15</v>
      </c>
      <c r="J2">
        <v>213.44</v>
      </c>
      <c r="K2">
        <v>-12958</v>
      </c>
      <c r="M2">
        <v>1</v>
      </c>
      <c r="N2">
        <v>0</v>
      </c>
      <c r="O2">
        <v>-60.71</v>
      </c>
      <c r="P2">
        <v>0</v>
      </c>
    </row>
    <row r="3" spans="1:16" x14ac:dyDescent="0.45">
      <c r="A3" t="s">
        <v>144</v>
      </c>
      <c r="B3" t="s">
        <v>145</v>
      </c>
      <c r="C3" t="s">
        <v>22</v>
      </c>
      <c r="D3" t="s">
        <v>149</v>
      </c>
      <c r="E3" t="s">
        <v>147</v>
      </c>
      <c r="F3">
        <v>100</v>
      </c>
      <c r="G3" t="s">
        <v>148</v>
      </c>
      <c r="H3">
        <v>0</v>
      </c>
      <c r="I3">
        <v>16.25</v>
      </c>
      <c r="J3">
        <v>10644.73</v>
      </c>
      <c r="K3">
        <v>-646242</v>
      </c>
      <c r="M3">
        <v>1</v>
      </c>
      <c r="N3">
        <v>0</v>
      </c>
      <c r="O3">
        <v>-60.71</v>
      </c>
      <c r="P3">
        <v>0</v>
      </c>
    </row>
    <row r="4" spans="1:16" x14ac:dyDescent="0.45">
      <c r="A4" t="s">
        <v>144</v>
      </c>
      <c r="B4" t="s">
        <v>145</v>
      </c>
      <c r="C4" t="s">
        <v>22</v>
      </c>
      <c r="D4" t="s">
        <v>150</v>
      </c>
      <c r="E4" t="s">
        <v>147</v>
      </c>
      <c r="F4">
        <v>100</v>
      </c>
      <c r="G4" t="s">
        <v>148</v>
      </c>
      <c r="H4">
        <v>0</v>
      </c>
      <c r="I4">
        <v>16.25</v>
      </c>
      <c r="J4">
        <v>16377.87</v>
      </c>
      <c r="K4">
        <v>-994300</v>
      </c>
      <c r="M4">
        <v>1</v>
      </c>
      <c r="N4">
        <v>0</v>
      </c>
      <c r="O4">
        <v>-60.71</v>
      </c>
      <c r="P4">
        <v>0</v>
      </c>
    </row>
    <row r="5" spans="1:16" x14ac:dyDescent="0.45">
      <c r="A5" t="s">
        <v>144</v>
      </c>
      <c r="B5" t="s">
        <v>145</v>
      </c>
      <c r="C5" t="s">
        <v>22</v>
      </c>
      <c r="D5" t="s">
        <v>151</v>
      </c>
      <c r="E5" t="s">
        <v>147</v>
      </c>
      <c r="F5">
        <v>100</v>
      </c>
      <c r="G5" t="s">
        <v>148</v>
      </c>
      <c r="H5">
        <v>0</v>
      </c>
      <c r="I5">
        <v>21.15</v>
      </c>
      <c r="J5">
        <v>422.62</v>
      </c>
      <c r="K5">
        <v>-25657</v>
      </c>
      <c r="M5">
        <v>1</v>
      </c>
      <c r="N5">
        <v>0</v>
      </c>
      <c r="O5">
        <v>-60.71</v>
      </c>
      <c r="P5">
        <v>0</v>
      </c>
    </row>
    <row r="6" spans="1:16" x14ac:dyDescent="0.45">
      <c r="A6" t="s">
        <v>152</v>
      </c>
      <c r="B6" t="s">
        <v>153</v>
      </c>
      <c r="C6" t="s">
        <v>22</v>
      </c>
      <c r="D6" t="s">
        <v>154</v>
      </c>
      <c r="E6" t="s">
        <v>155</v>
      </c>
      <c r="F6">
        <v>20</v>
      </c>
      <c r="G6" t="s">
        <v>148</v>
      </c>
      <c r="J6">
        <v>5704.77</v>
      </c>
      <c r="K6">
        <v>1034675</v>
      </c>
      <c r="L6" t="s">
        <v>156</v>
      </c>
      <c r="M6">
        <v>10</v>
      </c>
      <c r="N6">
        <v>1011.19</v>
      </c>
      <c r="O6">
        <v>50.56</v>
      </c>
      <c r="P6">
        <v>0</v>
      </c>
    </row>
    <row r="7" spans="1:16" x14ac:dyDescent="0.45">
      <c r="A7" t="s">
        <v>152</v>
      </c>
      <c r="B7" t="s">
        <v>153</v>
      </c>
      <c r="C7" t="s">
        <v>22</v>
      </c>
      <c r="D7" t="s">
        <v>157</v>
      </c>
      <c r="E7" t="s">
        <v>155</v>
      </c>
      <c r="F7">
        <v>20</v>
      </c>
      <c r="G7" t="s">
        <v>148</v>
      </c>
      <c r="J7">
        <v>3748.04</v>
      </c>
      <c r="K7">
        <v>250294</v>
      </c>
      <c r="M7">
        <v>10</v>
      </c>
      <c r="N7">
        <v>372.31</v>
      </c>
      <c r="O7">
        <v>18.62</v>
      </c>
      <c r="P7">
        <v>0</v>
      </c>
    </row>
    <row r="8" spans="1:16" x14ac:dyDescent="0.45">
      <c r="A8" t="s">
        <v>152</v>
      </c>
      <c r="B8" t="s">
        <v>153</v>
      </c>
      <c r="C8" t="s">
        <v>22</v>
      </c>
      <c r="D8" t="s">
        <v>157</v>
      </c>
      <c r="E8" t="s">
        <v>158</v>
      </c>
      <c r="F8">
        <v>100</v>
      </c>
      <c r="G8" t="s">
        <v>148</v>
      </c>
      <c r="J8">
        <v>8918.4599999999991</v>
      </c>
      <c r="K8">
        <v>595575</v>
      </c>
      <c r="M8">
        <v>10</v>
      </c>
      <c r="N8">
        <v>372.31</v>
      </c>
      <c r="O8">
        <v>18.62</v>
      </c>
      <c r="P8">
        <v>0</v>
      </c>
    </row>
    <row r="9" spans="1:16" x14ac:dyDescent="0.45">
      <c r="A9" t="s">
        <v>152</v>
      </c>
      <c r="B9" t="s">
        <v>153</v>
      </c>
      <c r="C9" t="s">
        <v>22</v>
      </c>
      <c r="D9" t="s">
        <v>154</v>
      </c>
      <c r="E9" t="s">
        <v>158</v>
      </c>
      <c r="F9">
        <v>100</v>
      </c>
      <c r="G9" t="s">
        <v>148</v>
      </c>
      <c r="J9">
        <v>1047.3</v>
      </c>
      <c r="K9">
        <v>189948</v>
      </c>
      <c r="M9">
        <v>10</v>
      </c>
      <c r="N9">
        <v>1011.19</v>
      </c>
      <c r="O9">
        <v>50.56</v>
      </c>
      <c r="P9">
        <v>0</v>
      </c>
    </row>
    <row r="10" spans="1:16" x14ac:dyDescent="0.45">
      <c r="A10" t="s">
        <v>159</v>
      </c>
      <c r="B10" t="s">
        <v>160</v>
      </c>
      <c r="C10" t="s">
        <v>22</v>
      </c>
      <c r="D10" t="s">
        <v>161</v>
      </c>
      <c r="E10" t="s">
        <v>147</v>
      </c>
      <c r="F10">
        <v>90</v>
      </c>
      <c r="G10" t="s">
        <v>162</v>
      </c>
      <c r="J10">
        <v>19.21</v>
      </c>
      <c r="K10">
        <v>6193</v>
      </c>
      <c r="L10" t="s">
        <v>163</v>
      </c>
      <c r="M10">
        <v>10</v>
      </c>
      <c r="N10">
        <v>2491.98</v>
      </c>
      <c r="O10">
        <v>0</v>
      </c>
      <c r="P10">
        <v>0</v>
      </c>
    </row>
    <row r="11" spans="1:16" x14ac:dyDescent="0.45">
      <c r="A11" t="s">
        <v>159</v>
      </c>
      <c r="B11" t="s">
        <v>160</v>
      </c>
      <c r="C11" t="s">
        <v>22</v>
      </c>
      <c r="D11" t="s">
        <v>161</v>
      </c>
      <c r="E11" t="s">
        <v>147</v>
      </c>
      <c r="F11">
        <v>90</v>
      </c>
      <c r="G11" t="s">
        <v>162</v>
      </c>
      <c r="J11">
        <v>1513.17</v>
      </c>
      <c r="K11">
        <v>604904</v>
      </c>
      <c r="L11" t="s">
        <v>163</v>
      </c>
      <c r="M11">
        <v>10</v>
      </c>
      <c r="N11">
        <v>3090.18</v>
      </c>
      <c r="O11">
        <v>0</v>
      </c>
      <c r="P11">
        <v>0</v>
      </c>
    </row>
    <row r="12" spans="1:16" x14ac:dyDescent="0.45">
      <c r="A12" t="s">
        <v>159</v>
      </c>
      <c r="B12" t="s">
        <v>160</v>
      </c>
      <c r="C12" t="s">
        <v>22</v>
      </c>
      <c r="D12" t="s">
        <v>161</v>
      </c>
      <c r="E12" t="s">
        <v>147</v>
      </c>
      <c r="F12">
        <v>90</v>
      </c>
      <c r="G12" t="s">
        <v>162</v>
      </c>
      <c r="J12">
        <v>75.16</v>
      </c>
      <c r="K12">
        <v>59685</v>
      </c>
      <c r="L12" t="s">
        <v>163</v>
      </c>
      <c r="M12">
        <v>10</v>
      </c>
      <c r="N12">
        <v>6138.3</v>
      </c>
      <c r="O12">
        <v>0</v>
      </c>
      <c r="P12">
        <v>0</v>
      </c>
    </row>
    <row r="13" spans="1:16" x14ac:dyDescent="0.45">
      <c r="A13" t="s">
        <v>159</v>
      </c>
      <c r="B13" t="s">
        <v>160</v>
      </c>
      <c r="C13" t="s">
        <v>22</v>
      </c>
      <c r="D13" t="s">
        <v>161</v>
      </c>
      <c r="E13" t="s">
        <v>147</v>
      </c>
      <c r="F13">
        <v>90</v>
      </c>
      <c r="G13" t="s">
        <v>162</v>
      </c>
      <c r="J13">
        <v>1031.81</v>
      </c>
      <c r="K13">
        <v>1146780</v>
      </c>
      <c r="L13" t="s">
        <v>163</v>
      </c>
      <c r="M13">
        <v>10</v>
      </c>
      <c r="N13">
        <v>8591.39</v>
      </c>
      <c r="O13">
        <v>0</v>
      </c>
      <c r="P13">
        <v>0</v>
      </c>
    </row>
    <row r="14" spans="1:16" x14ac:dyDescent="0.45">
      <c r="A14" t="s">
        <v>159</v>
      </c>
      <c r="B14" t="s">
        <v>160</v>
      </c>
      <c r="C14" t="s">
        <v>22</v>
      </c>
      <c r="D14" t="s">
        <v>161</v>
      </c>
      <c r="E14" t="s">
        <v>147</v>
      </c>
      <c r="F14">
        <v>90</v>
      </c>
      <c r="G14" t="s">
        <v>162</v>
      </c>
      <c r="J14">
        <v>8.51</v>
      </c>
      <c r="K14">
        <v>10351</v>
      </c>
      <c r="L14" t="s">
        <v>163</v>
      </c>
      <c r="M14">
        <v>10</v>
      </c>
      <c r="N14">
        <v>9397.7099999999991</v>
      </c>
      <c r="O14">
        <v>0</v>
      </c>
      <c r="P14">
        <v>0</v>
      </c>
    </row>
    <row r="15" spans="1:16" x14ac:dyDescent="0.45">
      <c r="A15" t="s">
        <v>159</v>
      </c>
      <c r="B15" t="s">
        <v>160</v>
      </c>
      <c r="C15" t="s">
        <v>22</v>
      </c>
      <c r="D15" t="s">
        <v>161</v>
      </c>
      <c r="E15" t="s">
        <v>147</v>
      </c>
      <c r="F15">
        <v>90</v>
      </c>
      <c r="G15" t="s">
        <v>162</v>
      </c>
      <c r="J15">
        <v>517.04999999999995</v>
      </c>
      <c r="K15">
        <v>923149</v>
      </c>
      <c r="L15" t="s">
        <v>163</v>
      </c>
      <c r="M15">
        <v>10</v>
      </c>
      <c r="N15">
        <v>13801.44</v>
      </c>
      <c r="O15">
        <v>0</v>
      </c>
      <c r="P15">
        <v>0</v>
      </c>
    </row>
    <row r="16" spans="1:16" x14ac:dyDescent="0.45">
      <c r="A16" t="s">
        <v>164</v>
      </c>
      <c r="B16" t="s">
        <v>165</v>
      </c>
      <c r="C16" t="s">
        <v>22</v>
      </c>
      <c r="D16" t="s">
        <v>166</v>
      </c>
      <c r="E16" t="s">
        <v>147</v>
      </c>
      <c r="F16">
        <v>25</v>
      </c>
      <c r="G16" t="s">
        <v>148</v>
      </c>
      <c r="H16">
        <v>24</v>
      </c>
      <c r="I16">
        <v>25</v>
      </c>
      <c r="J16">
        <v>347.97</v>
      </c>
      <c r="K16">
        <v>-3462</v>
      </c>
      <c r="L16" t="s">
        <v>59</v>
      </c>
      <c r="M16">
        <v>1</v>
      </c>
      <c r="N16">
        <v>0</v>
      </c>
      <c r="O16">
        <v>-9.9499999999999993</v>
      </c>
      <c r="P16">
        <v>0</v>
      </c>
    </row>
    <row r="17" spans="1:16" x14ac:dyDescent="0.45">
      <c r="A17" t="s">
        <v>167</v>
      </c>
      <c r="B17" t="s">
        <v>168</v>
      </c>
      <c r="C17" t="s">
        <v>22</v>
      </c>
      <c r="D17" t="s">
        <v>149</v>
      </c>
      <c r="E17" t="s">
        <v>147</v>
      </c>
      <c r="F17">
        <v>25</v>
      </c>
      <c r="G17" t="s">
        <v>148</v>
      </c>
      <c r="H17">
        <v>50</v>
      </c>
      <c r="I17">
        <v>0</v>
      </c>
      <c r="J17">
        <v>2661.18</v>
      </c>
      <c r="K17">
        <v>121403</v>
      </c>
      <c r="L17" t="s">
        <v>169</v>
      </c>
      <c r="M17">
        <v>1</v>
      </c>
      <c r="N17">
        <v>0</v>
      </c>
      <c r="O17">
        <v>45.62</v>
      </c>
      <c r="P17">
        <v>0</v>
      </c>
    </row>
  </sheetData>
  <pageMargins left="0.75" right="0.75" top="0.75" bottom="0.5" header="0.5" footer="0.75"/>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workbookViewId="0">
      <selection sqref="A1:D1"/>
    </sheetView>
  </sheetViews>
  <sheetFormatPr defaultRowHeight="14.25" x14ac:dyDescent="0.45"/>
  <cols>
    <col min="1" max="1" width="21.265625" customWidth="1"/>
    <col min="2" max="2" width="15.59765625" customWidth="1"/>
    <col min="3" max="3" width="30.1328125" customWidth="1"/>
    <col min="4" max="4" width="12.73046875" customWidth="1"/>
    <col min="5" max="5" width="19.3984375" customWidth="1"/>
    <col min="6" max="6" width="9.86328125" customWidth="1"/>
    <col min="7" max="7" width="28.73046875" customWidth="1"/>
    <col min="8" max="8" width="17.86328125" customWidth="1"/>
    <col min="9" max="9" width="24.1328125" customWidth="1"/>
    <col min="10" max="10" width="16" customWidth="1"/>
    <col min="11" max="11" width="21.1328125" customWidth="1"/>
    <col min="12" max="12" width="268.1328125" customWidth="1"/>
    <col min="13" max="13" width="15" customWidth="1"/>
    <col min="14" max="14" width="9.1328125" customWidth="1"/>
    <col min="15" max="15" width="9.3984375" customWidth="1"/>
    <col min="16" max="16" width="13.86328125" customWidth="1"/>
  </cols>
  <sheetData>
    <row r="1" spans="1:16" x14ac:dyDescent="0.45">
      <c r="A1" t="s">
        <v>1</v>
      </c>
      <c r="B1" t="s">
        <v>2</v>
      </c>
      <c r="C1" t="s">
        <v>3</v>
      </c>
      <c r="D1" t="s">
        <v>170</v>
      </c>
      <c r="E1" t="s">
        <v>5</v>
      </c>
      <c r="F1" t="s">
        <v>6</v>
      </c>
      <c r="G1" t="s">
        <v>7</v>
      </c>
      <c r="H1" t="s">
        <v>9</v>
      </c>
      <c r="I1" t="s">
        <v>12</v>
      </c>
      <c r="J1" t="s">
        <v>11</v>
      </c>
      <c r="K1" t="s">
        <v>13</v>
      </c>
      <c r="L1" t="s">
        <v>14</v>
      </c>
      <c r="M1" t="s">
        <v>15</v>
      </c>
      <c r="N1" t="s">
        <v>16</v>
      </c>
      <c r="O1" t="s">
        <v>17</v>
      </c>
      <c r="P1" t="s">
        <v>18</v>
      </c>
    </row>
    <row r="2" spans="1:16" x14ac:dyDescent="0.45">
      <c r="A2" t="s">
        <v>171</v>
      </c>
      <c r="B2" t="s">
        <v>172</v>
      </c>
      <c r="C2" t="s">
        <v>22</v>
      </c>
      <c r="D2" t="s">
        <v>173</v>
      </c>
      <c r="E2">
        <v>0.1</v>
      </c>
      <c r="F2" t="s">
        <v>24</v>
      </c>
      <c r="G2">
        <v>10.31</v>
      </c>
      <c r="H2">
        <v>10.31</v>
      </c>
      <c r="I2">
        <v>0.1</v>
      </c>
      <c r="J2" t="s">
        <v>174</v>
      </c>
      <c r="K2">
        <v>958.53</v>
      </c>
      <c r="M2">
        <v>3</v>
      </c>
      <c r="N2">
        <v>0</v>
      </c>
      <c r="O2">
        <v>93</v>
      </c>
      <c r="P2">
        <v>0</v>
      </c>
    </row>
    <row r="3" spans="1:16" x14ac:dyDescent="0.45">
      <c r="A3" t="s">
        <v>175</v>
      </c>
      <c r="B3" t="s">
        <v>176</v>
      </c>
      <c r="C3" t="s">
        <v>39</v>
      </c>
      <c r="D3" t="s">
        <v>173</v>
      </c>
      <c r="E3">
        <v>16.739999999999998</v>
      </c>
      <c r="F3" t="s">
        <v>24</v>
      </c>
      <c r="G3">
        <v>2072.2399999999998</v>
      </c>
      <c r="H3">
        <v>2072.2399999999998</v>
      </c>
      <c r="I3">
        <v>16.739999999999998</v>
      </c>
      <c r="J3" t="s">
        <v>174</v>
      </c>
      <c r="K3">
        <v>1091057.56</v>
      </c>
      <c r="L3" t="s">
        <v>177</v>
      </c>
      <c r="M3">
        <v>25</v>
      </c>
      <c r="N3">
        <v>10385</v>
      </c>
      <c r="O3">
        <v>-210</v>
      </c>
      <c r="P3">
        <v>0</v>
      </c>
    </row>
    <row r="4" spans="1:16" x14ac:dyDescent="0.45">
      <c r="A4" t="s">
        <v>178</v>
      </c>
      <c r="B4" t="s">
        <v>179</v>
      </c>
      <c r="C4" t="s">
        <v>39</v>
      </c>
      <c r="D4" t="s">
        <v>173</v>
      </c>
      <c r="E4">
        <v>2.25</v>
      </c>
      <c r="F4" t="s">
        <v>24</v>
      </c>
      <c r="G4">
        <v>231.9</v>
      </c>
      <c r="H4">
        <v>231.9</v>
      </c>
      <c r="I4">
        <v>2.25</v>
      </c>
      <c r="J4" t="s">
        <v>174</v>
      </c>
      <c r="K4">
        <v>317603.86</v>
      </c>
      <c r="L4" t="s">
        <v>180</v>
      </c>
      <c r="M4">
        <v>20</v>
      </c>
      <c r="N4">
        <v>13070</v>
      </c>
      <c r="O4">
        <v>320</v>
      </c>
      <c r="P4">
        <v>0</v>
      </c>
    </row>
  </sheetData>
  <pageMargins left="0.75" right="0.75" top="0.75" bottom="0.5" header="0.5" footer="0.75"/>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sqref="A1:D1"/>
    </sheetView>
  </sheetViews>
  <sheetFormatPr defaultRowHeight="14.25" x14ac:dyDescent="0.45"/>
  <cols>
    <col min="1" max="1" width="17.3984375" customWidth="1"/>
    <col min="2" max="2" width="18.59765625" customWidth="1"/>
    <col min="3" max="3" width="14.73046875" customWidth="1"/>
    <col min="4" max="4" width="15.73046875" customWidth="1"/>
    <col min="5" max="5" width="17.59765625" customWidth="1"/>
    <col min="6" max="6" width="21.1328125" customWidth="1"/>
    <col min="7" max="7" width="131.86328125" customWidth="1"/>
    <col min="8" max="8" width="15" customWidth="1"/>
    <col min="9" max="9" width="9.1328125" customWidth="1"/>
    <col min="10" max="10" width="9.3984375" customWidth="1"/>
    <col min="11" max="11" width="13.86328125" customWidth="1"/>
  </cols>
  <sheetData>
    <row r="1" spans="1:11" x14ac:dyDescent="0.45">
      <c r="A1" t="s">
        <v>181</v>
      </c>
      <c r="B1" t="s">
        <v>182</v>
      </c>
      <c r="C1" t="s">
        <v>140</v>
      </c>
      <c r="D1" t="s">
        <v>4</v>
      </c>
      <c r="E1" t="s">
        <v>183</v>
      </c>
      <c r="F1" t="s">
        <v>13</v>
      </c>
      <c r="G1" t="s">
        <v>14</v>
      </c>
      <c r="H1" t="s">
        <v>15</v>
      </c>
      <c r="I1" t="s">
        <v>16</v>
      </c>
      <c r="J1" t="s">
        <v>17</v>
      </c>
      <c r="K1" t="s">
        <v>18</v>
      </c>
    </row>
    <row r="2" spans="1:11" x14ac:dyDescent="0.45">
      <c r="A2" t="s">
        <v>22</v>
      </c>
      <c r="B2" t="s">
        <v>184</v>
      </c>
      <c r="C2" t="s">
        <v>157</v>
      </c>
      <c r="D2" t="s">
        <v>147</v>
      </c>
      <c r="E2">
        <v>2000</v>
      </c>
      <c r="F2">
        <v>55060</v>
      </c>
      <c r="G2" t="s">
        <v>59</v>
      </c>
      <c r="H2">
        <v>1</v>
      </c>
      <c r="I2">
        <v>0</v>
      </c>
      <c r="J2">
        <v>27.53</v>
      </c>
      <c r="K2">
        <v>0</v>
      </c>
    </row>
    <row r="3" spans="1:11" x14ac:dyDescent="0.45">
      <c r="A3" t="s">
        <v>22</v>
      </c>
      <c r="B3" t="s">
        <v>185</v>
      </c>
      <c r="C3" t="s">
        <v>157</v>
      </c>
      <c r="D3" t="s">
        <v>147</v>
      </c>
      <c r="E3">
        <v>500</v>
      </c>
      <c r="F3">
        <v>13765</v>
      </c>
      <c r="G3" t="s">
        <v>59</v>
      </c>
      <c r="H3">
        <v>1</v>
      </c>
      <c r="I3">
        <v>0</v>
      </c>
      <c r="J3">
        <v>27.53</v>
      </c>
      <c r="K3">
        <v>0</v>
      </c>
    </row>
    <row r="4" spans="1:11" x14ac:dyDescent="0.45">
      <c r="A4" t="s">
        <v>22</v>
      </c>
      <c r="B4" t="s">
        <v>186</v>
      </c>
      <c r="C4" t="s">
        <v>157</v>
      </c>
      <c r="D4" t="s">
        <v>147</v>
      </c>
      <c r="E4">
        <v>500</v>
      </c>
      <c r="F4">
        <v>13765</v>
      </c>
      <c r="G4" t="s">
        <v>187</v>
      </c>
      <c r="H4">
        <v>1</v>
      </c>
      <c r="I4">
        <v>0</v>
      </c>
      <c r="J4">
        <v>27.53</v>
      </c>
      <c r="K4">
        <v>0</v>
      </c>
    </row>
    <row r="5" spans="1:11" x14ac:dyDescent="0.45">
      <c r="A5" t="s">
        <v>22</v>
      </c>
      <c r="B5" t="s">
        <v>188</v>
      </c>
      <c r="C5" t="s">
        <v>157</v>
      </c>
      <c r="D5" t="s">
        <v>147</v>
      </c>
      <c r="E5">
        <v>500</v>
      </c>
      <c r="F5">
        <v>13765</v>
      </c>
      <c r="G5" t="s">
        <v>189</v>
      </c>
      <c r="H5">
        <v>1</v>
      </c>
      <c r="I5">
        <v>0</v>
      </c>
      <c r="J5">
        <v>27.53</v>
      </c>
      <c r="K5">
        <v>0</v>
      </c>
    </row>
    <row r="6" spans="1:11" x14ac:dyDescent="0.45">
      <c r="A6" t="s">
        <v>22</v>
      </c>
      <c r="B6" t="s">
        <v>190</v>
      </c>
      <c r="C6" t="s">
        <v>157</v>
      </c>
      <c r="D6" t="s">
        <v>147</v>
      </c>
      <c r="E6">
        <v>10000</v>
      </c>
      <c r="F6">
        <v>275300</v>
      </c>
      <c r="G6" t="s">
        <v>191</v>
      </c>
      <c r="H6">
        <v>1</v>
      </c>
      <c r="I6">
        <v>0</v>
      </c>
      <c r="J6">
        <v>27.53</v>
      </c>
      <c r="K6">
        <v>0</v>
      </c>
    </row>
  </sheetData>
  <pageMargins left="0.75" right="0.75" top="0.75" bottom="0.5" header="0.5" footer="0.7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14"/>
  <sheetViews>
    <sheetView workbookViewId="0">
      <selection activeCell="B8" sqref="B8"/>
    </sheetView>
  </sheetViews>
  <sheetFormatPr defaultRowHeight="14.25" x14ac:dyDescent="0.45"/>
  <cols>
    <col min="1" max="1" width="33" customWidth="1"/>
    <col min="2" max="2" width="45.73046875" customWidth="1"/>
    <col min="4" max="4" width="33.73046875" customWidth="1"/>
    <col min="5" max="5" width="63" bestFit="1" customWidth="1"/>
  </cols>
  <sheetData>
    <row r="4" spans="1:11" ht="23.25" x14ac:dyDescent="0.7">
      <c r="A4" s="250" t="s">
        <v>425</v>
      </c>
      <c r="B4" s="250"/>
      <c r="C4" s="250"/>
      <c r="D4" s="250"/>
      <c r="E4" s="250"/>
      <c r="F4" s="250"/>
      <c r="G4" s="208"/>
      <c r="H4" s="208"/>
      <c r="I4" s="208"/>
      <c r="J4" s="208"/>
      <c r="K4" s="208"/>
    </row>
    <row r="5" spans="1:11" ht="23.25" x14ac:dyDescent="0.7">
      <c r="A5" s="236" t="s">
        <v>433</v>
      </c>
      <c r="B5" s="235"/>
      <c r="C5" s="234"/>
      <c r="D5" s="234"/>
      <c r="E5" s="234"/>
      <c r="F5" s="234"/>
      <c r="G5" s="208"/>
      <c r="H5" s="208"/>
      <c r="I5" s="208"/>
      <c r="J5" s="208"/>
      <c r="K5" s="208"/>
    </row>
    <row r="7" spans="1:11" x14ac:dyDescent="0.45">
      <c r="A7" s="249" t="s">
        <v>416</v>
      </c>
      <c r="B7" s="249"/>
      <c r="D7" s="249" t="s">
        <v>417</v>
      </c>
      <c r="E7" s="249"/>
    </row>
    <row r="8" spans="1:11" x14ac:dyDescent="0.45">
      <c r="A8" t="s">
        <v>412</v>
      </c>
      <c r="B8" s="209" t="s">
        <v>107</v>
      </c>
      <c r="D8" t="s">
        <v>412</v>
      </c>
      <c r="E8" s="209" t="s">
        <v>242</v>
      </c>
    </row>
    <row r="9" spans="1:11" x14ac:dyDescent="0.45">
      <c r="A9" t="s">
        <v>6</v>
      </c>
      <c r="B9" s="207" t="str">
        <f>VLOOKUP(B8,VLookup!$A$6:$B$18,2)</f>
        <v>$/acre treated/year</v>
      </c>
      <c r="D9" t="s">
        <v>384</v>
      </c>
      <c r="E9" s="207" t="str">
        <f>VLOOKUP(E8,VLookup!$A$6:$B$18,2)</f>
        <v>$/acre treated/year</v>
      </c>
    </row>
    <row r="10" spans="1:11" x14ac:dyDescent="0.45">
      <c r="A10" t="s">
        <v>413</v>
      </c>
      <c r="B10" s="209">
        <v>100</v>
      </c>
      <c r="D10" t="s">
        <v>413</v>
      </c>
      <c r="E10" s="209">
        <v>300</v>
      </c>
    </row>
    <row r="11" spans="1:11" x14ac:dyDescent="0.45">
      <c r="A11" t="s">
        <v>415</v>
      </c>
      <c r="B11" s="207">
        <f>VLOOKUP(B8,VLookup!$A$6:$D$18,4)</f>
        <v>2E-3</v>
      </c>
      <c r="D11" t="str">
        <f>A11</f>
        <v>FTE per unit</v>
      </c>
      <c r="E11" s="207">
        <f>VLOOKUP(E8,VLookup!$A$6:$D$18,4)</f>
        <v>4.0000000000000001E-3</v>
      </c>
    </row>
    <row r="12" spans="1:11" x14ac:dyDescent="0.45">
      <c r="A12" t="s">
        <v>414</v>
      </c>
      <c r="B12" s="207">
        <f>B10*B11</f>
        <v>0.2</v>
      </c>
      <c r="D12" t="s">
        <v>414</v>
      </c>
      <c r="E12" s="207">
        <f>E10*E11</f>
        <v>1.2</v>
      </c>
    </row>
    <row r="13" spans="1:11" x14ac:dyDescent="0.45">
      <c r="A13" t="s">
        <v>420</v>
      </c>
      <c r="B13" s="207">
        <f>VLOOKUP(B8,VLookup!$A$6:$F$18,6)</f>
        <v>25</v>
      </c>
      <c r="D13" t="s">
        <v>420</v>
      </c>
      <c r="E13" s="207">
        <f>VLOOKUP(E8,VLookup!$A$6:$F$18,6)</f>
        <v>50</v>
      </c>
    </row>
    <row r="14" spans="1:11" x14ac:dyDescent="0.45">
      <c r="A14" t="s">
        <v>419</v>
      </c>
      <c r="B14" s="207">
        <f>B12*B13</f>
        <v>5</v>
      </c>
      <c r="D14" t="s">
        <v>419</v>
      </c>
      <c r="E14" s="207">
        <f>E12*E13</f>
        <v>60</v>
      </c>
    </row>
  </sheetData>
  <sheetProtection selectLockedCells="1"/>
  <mergeCells count="3">
    <mergeCell ref="A7:B7"/>
    <mergeCell ref="D7:E7"/>
    <mergeCell ref="A4:F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VLookup!$A$8:$A$18</xm:f>
          </x14:formula1>
          <xm:sqref>B8 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topLeftCell="A19" zoomScale="90" zoomScaleNormal="90" workbookViewId="0">
      <selection activeCell="F14" sqref="F14"/>
    </sheetView>
  </sheetViews>
  <sheetFormatPr defaultColWidth="52.265625" defaultRowHeight="14.25" x14ac:dyDescent="0.45"/>
  <cols>
    <col min="1" max="1" width="6.3984375" style="221" bestFit="1" customWidth="1"/>
    <col min="2" max="2" width="66" style="221" customWidth="1"/>
    <col min="3" max="3" width="20.265625" style="221" hidden="1" customWidth="1"/>
    <col min="4" max="4" width="29.1328125" style="221" hidden="1" customWidth="1"/>
    <col min="5" max="7" width="10" style="221" bestFit="1" customWidth="1"/>
    <col min="8" max="10" width="7.59765625" style="221" hidden="1" customWidth="1"/>
    <col min="11" max="11" width="47.86328125" style="221" hidden="1" customWidth="1"/>
    <col min="12" max="12" width="14.73046875" style="221" bestFit="1" customWidth="1"/>
    <col min="13" max="15" width="10" style="221" bestFit="1" customWidth="1"/>
    <col min="16" max="16384" width="52.265625" style="221"/>
  </cols>
  <sheetData>
    <row r="1" spans="1:15" ht="18" hidden="1" x14ac:dyDescent="0.55000000000000004">
      <c r="B1" s="254" t="s">
        <v>453</v>
      </c>
      <c r="C1" s="254"/>
      <c r="D1" s="254"/>
      <c r="E1" s="254"/>
      <c r="F1" s="254"/>
      <c r="G1" s="254"/>
      <c r="H1" s="254"/>
      <c r="I1" s="254"/>
      <c r="J1" s="254"/>
      <c r="K1" s="254"/>
      <c r="L1" s="254"/>
      <c r="M1" s="254"/>
      <c r="N1" s="254"/>
      <c r="O1" s="220"/>
    </row>
    <row r="2" spans="1:15" hidden="1" x14ac:dyDescent="0.45">
      <c r="B2" s="254"/>
      <c r="C2" s="254"/>
      <c r="D2" s="254"/>
      <c r="E2" s="254"/>
      <c r="F2" s="254"/>
      <c r="G2" s="254"/>
      <c r="H2" s="254"/>
      <c r="I2" s="254"/>
      <c r="J2" s="254"/>
      <c r="K2" s="254"/>
      <c r="L2" s="254"/>
      <c r="M2" s="254"/>
      <c r="N2" s="254"/>
    </row>
    <row r="3" spans="1:15" hidden="1" x14ac:dyDescent="0.45">
      <c r="K3" s="222" t="s">
        <v>411</v>
      </c>
      <c r="L3" s="222"/>
    </row>
    <row r="4" spans="1:15" x14ac:dyDescent="0.45">
      <c r="K4" s="222"/>
      <c r="L4" s="222"/>
    </row>
    <row r="5" spans="1:15" x14ac:dyDescent="0.45">
      <c r="K5" s="222"/>
      <c r="L5" s="222"/>
    </row>
    <row r="6" spans="1:15" x14ac:dyDescent="0.45">
      <c r="B6" s="251" t="s">
        <v>429</v>
      </c>
      <c r="C6" s="252"/>
      <c r="D6" s="252"/>
      <c r="E6" s="252"/>
      <c r="F6" s="252"/>
      <c r="G6" s="252"/>
      <c r="H6" s="252"/>
      <c r="I6" s="252"/>
      <c r="J6" s="252"/>
      <c r="K6" s="252"/>
      <c r="L6" s="252"/>
      <c r="M6" s="252"/>
      <c r="N6" s="252"/>
      <c r="O6" s="252"/>
    </row>
    <row r="7" spans="1:15" x14ac:dyDescent="0.45">
      <c r="A7" s="253" t="s">
        <v>434</v>
      </c>
      <c r="B7" s="252"/>
      <c r="C7" s="252"/>
      <c r="D7" s="252"/>
      <c r="E7" s="252"/>
      <c r="F7" s="252"/>
      <c r="G7" s="252"/>
      <c r="H7" s="252"/>
      <c r="I7" s="252"/>
      <c r="J7" s="252"/>
      <c r="K7" s="252"/>
      <c r="L7" s="252"/>
      <c r="M7" s="252"/>
      <c r="N7" s="252"/>
      <c r="O7" s="252"/>
    </row>
    <row r="8" spans="1:15" x14ac:dyDescent="0.45">
      <c r="A8" s="253"/>
      <c r="B8" s="223" t="s">
        <v>424</v>
      </c>
      <c r="C8" s="206"/>
      <c r="D8" s="206"/>
      <c r="E8" s="255" t="s">
        <v>426</v>
      </c>
      <c r="F8" s="255"/>
      <c r="G8" s="255"/>
      <c r="H8" s="224"/>
      <c r="I8" s="224"/>
      <c r="J8" s="224"/>
      <c r="K8" s="206"/>
      <c r="M8" s="256" t="s">
        <v>402</v>
      </c>
      <c r="N8" s="256"/>
      <c r="O8" s="256"/>
    </row>
    <row r="9" spans="1:15" x14ac:dyDescent="0.45">
      <c r="A9" s="253"/>
      <c r="B9" s="209">
        <v>1000</v>
      </c>
      <c r="C9" s="211"/>
      <c r="D9" s="211"/>
      <c r="E9" s="214" t="s">
        <v>421</v>
      </c>
      <c r="F9" s="214" t="s">
        <v>422</v>
      </c>
      <c r="G9" s="214" t="s">
        <v>423</v>
      </c>
      <c r="H9" s="212"/>
      <c r="I9" s="225"/>
      <c r="J9" s="225"/>
      <c r="K9" s="211"/>
      <c r="M9" s="214" t="s">
        <v>421</v>
      </c>
      <c r="N9" s="214" t="s">
        <v>422</v>
      </c>
      <c r="O9" s="214" t="s">
        <v>423</v>
      </c>
    </row>
    <row r="10" spans="1:15" x14ac:dyDescent="0.45">
      <c r="A10" s="253"/>
      <c r="B10" s="216" t="s">
        <v>427</v>
      </c>
      <c r="C10" s="217"/>
      <c r="D10" s="217"/>
      <c r="E10" s="226">
        <f>SUM(E12:E22)</f>
        <v>1</v>
      </c>
      <c r="F10" s="226">
        <f>SUM(F12:F22)</f>
        <v>1</v>
      </c>
      <c r="G10" s="226">
        <f>SUM(G12:G22)</f>
        <v>1.0000000000000002</v>
      </c>
      <c r="H10" s="225"/>
      <c r="I10" s="225"/>
      <c r="J10" s="225"/>
      <c r="K10" s="211"/>
      <c r="L10" s="215" t="s">
        <v>428</v>
      </c>
      <c r="M10" s="227">
        <f>SUM(M12:M22)</f>
        <v>1.75</v>
      </c>
      <c r="N10" s="227">
        <f>SUM(N12:N22)</f>
        <v>4.8150000000000013</v>
      </c>
      <c r="O10" s="227">
        <f>SUM(O12:O22)</f>
        <v>2.7363636363636363</v>
      </c>
    </row>
    <row r="11" spans="1:15" x14ac:dyDescent="0.45">
      <c r="A11" s="253"/>
      <c r="B11" s="218" t="s">
        <v>405</v>
      </c>
      <c r="C11" s="211"/>
      <c r="D11" s="211"/>
      <c r="E11" s="228"/>
      <c r="F11" s="228"/>
      <c r="G11" s="228"/>
      <c r="H11" s="225"/>
      <c r="I11" s="225"/>
      <c r="J11" s="225"/>
      <c r="K11" s="211"/>
      <c r="L11" s="213"/>
      <c r="M11" s="229"/>
      <c r="N11" s="229"/>
      <c r="O11" s="229"/>
    </row>
    <row r="12" spans="1:15" x14ac:dyDescent="0.45">
      <c r="A12" s="253"/>
      <c r="B12" s="219" t="s">
        <v>107</v>
      </c>
      <c r="C12" s="210" t="s">
        <v>241</v>
      </c>
      <c r="D12" s="230">
        <v>216</v>
      </c>
      <c r="E12" s="233">
        <v>0.5</v>
      </c>
      <c r="F12" s="233">
        <v>0.15</v>
      </c>
      <c r="G12" s="233">
        <f>1/11</f>
        <v>9.0909090909090912E-2</v>
      </c>
      <c r="H12" s="231">
        <f t="shared" ref="H12:H22" si="0">E12*$B$9</f>
        <v>500</v>
      </c>
      <c r="I12" s="231">
        <f t="shared" ref="I12:I22" si="1">F12*$B$9</f>
        <v>150</v>
      </c>
      <c r="J12" s="231">
        <f t="shared" ref="J12:J22" si="2">G12*$B$9</f>
        <v>90.909090909090907</v>
      </c>
      <c r="K12" s="210">
        <v>2E-3</v>
      </c>
      <c r="L12" s="210"/>
      <c r="M12" s="232">
        <f>H12*K12</f>
        <v>1</v>
      </c>
      <c r="N12" s="232">
        <f>I12*K12</f>
        <v>0.3</v>
      </c>
      <c r="O12" s="232">
        <f>J12*K12</f>
        <v>0.18181818181818182</v>
      </c>
    </row>
    <row r="13" spans="1:15" x14ac:dyDescent="0.45">
      <c r="A13" s="253"/>
      <c r="B13" s="219" t="s">
        <v>117</v>
      </c>
      <c r="C13" s="210" t="s">
        <v>241</v>
      </c>
      <c r="D13" s="230">
        <v>170</v>
      </c>
      <c r="E13" s="233">
        <v>0.25</v>
      </c>
      <c r="F13" s="233">
        <v>0.25</v>
      </c>
      <c r="G13" s="233">
        <f>G12</f>
        <v>9.0909090909090912E-2</v>
      </c>
      <c r="H13" s="231">
        <f t="shared" si="0"/>
        <v>250</v>
      </c>
      <c r="I13" s="231">
        <f t="shared" si="1"/>
        <v>250</v>
      </c>
      <c r="J13" s="231">
        <f t="shared" si="2"/>
        <v>90.909090909090907</v>
      </c>
      <c r="K13" s="210">
        <v>2E-3</v>
      </c>
      <c r="L13" s="210"/>
      <c r="M13" s="232">
        <f t="shared" ref="M13:M22" si="3">H13*K13</f>
        <v>0.5</v>
      </c>
      <c r="N13" s="232">
        <f t="shared" ref="N13:N22" si="4">I13*K13</f>
        <v>0.5</v>
      </c>
      <c r="O13" s="232">
        <f t="shared" ref="O13:O22" si="5">J13*K13</f>
        <v>0.18181818181818182</v>
      </c>
    </row>
    <row r="14" spans="1:15" x14ac:dyDescent="0.45">
      <c r="A14" s="253"/>
      <c r="B14" s="219" t="s">
        <v>119</v>
      </c>
      <c r="C14" s="210" t="s">
        <v>241</v>
      </c>
      <c r="D14" s="230">
        <v>67</v>
      </c>
      <c r="E14" s="233">
        <v>0.25</v>
      </c>
      <c r="F14" s="233">
        <v>0.06</v>
      </c>
      <c r="G14" s="233">
        <f t="shared" ref="G14:G22" si="6">G13</f>
        <v>9.0909090909090912E-2</v>
      </c>
      <c r="H14" s="231">
        <f t="shared" si="0"/>
        <v>250</v>
      </c>
      <c r="I14" s="231">
        <f t="shared" si="1"/>
        <v>60</v>
      </c>
      <c r="J14" s="231">
        <f t="shared" si="2"/>
        <v>90.909090909090907</v>
      </c>
      <c r="K14" s="210">
        <v>1E-3</v>
      </c>
      <c r="L14" s="210"/>
      <c r="M14" s="232">
        <f t="shared" si="3"/>
        <v>0.25</v>
      </c>
      <c r="N14" s="232">
        <f t="shared" si="4"/>
        <v>0.06</v>
      </c>
      <c r="O14" s="232">
        <f t="shared" si="5"/>
        <v>9.0909090909090912E-2</v>
      </c>
    </row>
    <row r="15" spans="1:15" x14ac:dyDescent="0.45">
      <c r="A15" s="253"/>
      <c r="B15" s="219" t="s">
        <v>256</v>
      </c>
      <c r="C15" s="210" t="s">
        <v>231</v>
      </c>
      <c r="D15" s="230">
        <v>430.69</v>
      </c>
      <c r="E15" s="233"/>
      <c r="F15" s="233">
        <v>0.03</v>
      </c>
      <c r="G15" s="233">
        <f t="shared" si="6"/>
        <v>9.0909090909090912E-2</v>
      </c>
      <c r="H15" s="231">
        <f t="shared" si="0"/>
        <v>0</v>
      </c>
      <c r="I15" s="231">
        <f t="shared" si="1"/>
        <v>30</v>
      </c>
      <c r="J15" s="231">
        <f t="shared" si="2"/>
        <v>90.909090909090907</v>
      </c>
      <c r="K15" s="210">
        <v>3.0000000000000001E-3</v>
      </c>
      <c r="L15" s="210"/>
      <c r="M15" s="232">
        <f t="shared" si="3"/>
        <v>0</v>
      </c>
      <c r="N15" s="232">
        <f t="shared" si="4"/>
        <v>0.09</v>
      </c>
      <c r="O15" s="232">
        <f t="shared" si="5"/>
        <v>0.27272727272727271</v>
      </c>
    </row>
    <row r="16" spans="1:15" x14ac:dyDescent="0.45">
      <c r="A16" s="253"/>
      <c r="B16" s="219" t="s">
        <v>124</v>
      </c>
      <c r="C16" s="210" t="s">
        <v>241</v>
      </c>
      <c r="D16" s="230">
        <v>773</v>
      </c>
      <c r="E16" s="233"/>
      <c r="F16" s="233">
        <v>0.4</v>
      </c>
      <c r="G16" s="233">
        <f t="shared" si="6"/>
        <v>9.0909090909090912E-2</v>
      </c>
      <c r="H16" s="231">
        <f t="shared" si="0"/>
        <v>0</v>
      </c>
      <c r="I16" s="231">
        <f t="shared" si="1"/>
        <v>400</v>
      </c>
      <c r="J16" s="231">
        <f t="shared" si="2"/>
        <v>90.909090909090907</v>
      </c>
      <c r="K16" s="210">
        <v>9.0000000000000011E-3</v>
      </c>
      <c r="L16" s="210"/>
      <c r="M16" s="232">
        <f t="shared" si="3"/>
        <v>0</v>
      </c>
      <c r="N16" s="232">
        <f t="shared" si="4"/>
        <v>3.6000000000000005</v>
      </c>
      <c r="O16" s="232">
        <f t="shared" si="5"/>
        <v>0.81818181818181823</v>
      </c>
    </row>
    <row r="17" spans="1:15" x14ac:dyDescent="0.45">
      <c r="A17" s="253"/>
      <c r="B17" s="219" t="s">
        <v>126</v>
      </c>
      <c r="C17" s="210" t="s">
        <v>231</v>
      </c>
      <c r="D17" s="230">
        <v>50</v>
      </c>
      <c r="E17" s="233"/>
      <c r="F17" s="233">
        <v>0.05</v>
      </c>
      <c r="G17" s="233">
        <f t="shared" si="6"/>
        <v>9.0909090909090912E-2</v>
      </c>
      <c r="H17" s="231">
        <f t="shared" si="0"/>
        <v>0</v>
      </c>
      <c r="I17" s="231">
        <f t="shared" si="1"/>
        <v>50</v>
      </c>
      <c r="J17" s="231">
        <f t="shared" si="2"/>
        <v>90.909090909090907</v>
      </c>
      <c r="K17" s="210">
        <v>5.0000000000000001E-4</v>
      </c>
      <c r="L17" s="210"/>
      <c r="M17" s="232">
        <f t="shared" si="3"/>
        <v>0</v>
      </c>
      <c r="N17" s="232">
        <f t="shared" si="4"/>
        <v>2.5000000000000001E-2</v>
      </c>
      <c r="O17" s="232">
        <f t="shared" si="5"/>
        <v>4.5454545454545456E-2</v>
      </c>
    </row>
    <row r="18" spans="1:15" x14ac:dyDescent="0.45">
      <c r="A18" s="253"/>
      <c r="B18" s="219" t="s">
        <v>242</v>
      </c>
      <c r="C18" s="210" t="s">
        <v>241</v>
      </c>
      <c r="D18" s="230">
        <v>345</v>
      </c>
      <c r="E18" s="233"/>
      <c r="F18" s="233">
        <v>0.06</v>
      </c>
      <c r="G18" s="233">
        <f t="shared" si="6"/>
        <v>9.0909090909090912E-2</v>
      </c>
      <c r="H18" s="231">
        <f t="shared" si="0"/>
        <v>0</v>
      </c>
      <c r="I18" s="231">
        <f t="shared" si="1"/>
        <v>60</v>
      </c>
      <c r="J18" s="231">
        <f t="shared" si="2"/>
        <v>90.909090909090907</v>
      </c>
      <c r="K18" s="210">
        <v>4.0000000000000001E-3</v>
      </c>
      <c r="L18" s="210"/>
      <c r="M18" s="232">
        <f t="shared" si="3"/>
        <v>0</v>
      </c>
      <c r="N18" s="232">
        <f t="shared" si="4"/>
        <v>0.24</v>
      </c>
      <c r="O18" s="232">
        <f t="shared" si="5"/>
        <v>0.36363636363636365</v>
      </c>
    </row>
    <row r="19" spans="1:15" x14ac:dyDescent="0.45">
      <c r="A19" s="253"/>
      <c r="B19" s="219" t="s">
        <v>131</v>
      </c>
      <c r="C19" s="210" t="s">
        <v>233</v>
      </c>
      <c r="D19" s="230">
        <v>8.6</v>
      </c>
      <c r="E19" s="233"/>
      <c r="F19" s="233"/>
      <c r="G19" s="233">
        <f t="shared" si="6"/>
        <v>9.0909090909090912E-2</v>
      </c>
      <c r="H19" s="231">
        <f t="shared" si="0"/>
        <v>0</v>
      </c>
      <c r="I19" s="231">
        <f t="shared" si="1"/>
        <v>0</v>
      </c>
      <c r="J19" s="231">
        <f t="shared" si="2"/>
        <v>90.909090909090907</v>
      </c>
      <c r="K19" s="210">
        <v>1E-4</v>
      </c>
      <c r="L19" s="210"/>
      <c r="M19" s="232">
        <f t="shared" si="3"/>
        <v>0</v>
      </c>
      <c r="N19" s="232">
        <f t="shared" si="4"/>
        <v>0</v>
      </c>
      <c r="O19" s="232">
        <f t="shared" si="5"/>
        <v>9.0909090909090905E-3</v>
      </c>
    </row>
    <row r="20" spans="1:15" x14ac:dyDescent="0.45">
      <c r="A20" s="253"/>
      <c r="B20" s="219" t="s">
        <v>134</v>
      </c>
      <c r="C20" s="210" t="s">
        <v>231</v>
      </c>
      <c r="D20" s="230">
        <v>50</v>
      </c>
      <c r="E20" s="233"/>
      <c r="F20" s="233"/>
      <c r="G20" s="233">
        <f t="shared" si="6"/>
        <v>9.0909090909090912E-2</v>
      </c>
      <c r="H20" s="231">
        <f t="shared" si="0"/>
        <v>0</v>
      </c>
      <c r="I20" s="231">
        <f t="shared" si="1"/>
        <v>0</v>
      </c>
      <c r="J20" s="231">
        <f t="shared" si="2"/>
        <v>90.909090909090907</v>
      </c>
      <c r="K20" s="210">
        <v>5.0000000000000001E-4</v>
      </c>
      <c r="L20" s="210"/>
      <c r="M20" s="232">
        <f t="shared" si="3"/>
        <v>0</v>
      </c>
      <c r="N20" s="232">
        <f t="shared" si="4"/>
        <v>0</v>
      </c>
      <c r="O20" s="232">
        <f t="shared" si="5"/>
        <v>4.5454545454545456E-2</v>
      </c>
    </row>
    <row r="21" spans="1:15" x14ac:dyDescent="0.45">
      <c r="A21" s="253"/>
      <c r="B21" s="219" t="s">
        <v>247</v>
      </c>
      <c r="C21" s="210" t="s">
        <v>241</v>
      </c>
      <c r="D21" s="230">
        <v>314</v>
      </c>
      <c r="E21" s="233"/>
      <c r="F21" s="233"/>
      <c r="G21" s="233">
        <f t="shared" si="6"/>
        <v>9.0909090909090912E-2</v>
      </c>
      <c r="H21" s="231">
        <f t="shared" si="0"/>
        <v>0</v>
      </c>
      <c r="I21" s="231">
        <f t="shared" si="1"/>
        <v>0</v>
      </c>
      <c r="J21" s="231">
        <f t="shared" si="2"/>
        <v>90.909090909090907</v>
      </c>
      <c r="K21" s="210">
        <v>6.0000000000000001E-3</v>
      </c>
      <c r="L21" s="210"/>
      <c r="M21" s="232">
        <f t="shared" si="3"/>
        <v>0</v>
      </c>
      <c r="N21" s="232">
        <f t="shared" si="4"/>
        <v>0</v>
      </c>
      <c r="O21" s="232">
        <f t="shared" si="5"/>
        <v>0.54545454545454541</v>
      </c>
    </row>
    <row r="22" spans="1:15" x14ac:dyDescent="0.45">
      <c r="A22" s="253"/>
      <c r="B22" s="219" t="s">
        <v>137</v>
      </c>
      <c r="C22" s="210" t="s">
        <v>241</v>
      </c>
      <c r="D22" s="230">
        <v>106</v>
      </c>
      <c r="E22" s="233"/>
      <c r="F22" s="233"/>
      <c r="G22" s="233">
        <f t="shared" si="6"/>
        <v>9.0909090909090912E-2</v>
      </c>
      <c r="H22" s="231">
        <f t="shared" si="0"/>
        <v>0</v>
      </c>
      <c r="I22" s="231">
        <f t="shared" si="1"/>
        <v>0</v>
      </c>
      <c r="J22" s="231">
        <f t="shared" si="2"/>
        <v>90.909090909090907</v>
      </c>
      <c r="K22" s="210">
        <v>2E-3</v>
      </c>
      <c r="L22" s="210"/>
      <c r="M22" s="232">
        <f t="shared" si="3"/>
        <v>0</v>
      </c>
      <c r="N22" s="232">
        <f t="shared" si="4"/>
        <v>0</v>
      </c>
      <c r="O22" s="232">
        <f t="shared" si="5"/>
        <v>0.18181818181818182</v>
      </c>
    </row>
    <row r="23" spans="1:15" x14ac:dyDescent="0.45">
      <c r="A23" s="253"/>
    </row>
    <row r="24" spans="1:15" x14ac:dyDescent="0.45">
      <c r="A24" s="253"/>
    </row>
    <row r="27" spans="1:15" x14ac:dyDescent="0.45">
      <c r="B27" s="201" t="s">
        <v>14</v>
      </c>
      <c r="C27" s="201"/>
    </row>
  </sheetData>
  <sheetProtection selectLockedCells="1"/>
  <mergeCells count="5">
    <mergeCell ref="B6:O7"/>
    <mergeCell ref="A7:A24"/>
    <mergeCell ref="B1:N2"/>
    <mergeCell ref="E8:G8"/>
    <mergeCell ref="M8:O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22" sqref="A22"/>
    </sheetView>
  </sheetViews>
  <sheetFormatPr defaultColWidth="45.59765625" defaultRowHeight="14.25" x14ac:dyDescent="0.45"/>
  <cols>
    <col min="1" max="1" width="63" style="27" customWidth="1"/>
    <col min="2" max="2" width="21" style="27" customWidth="1"/>
    <col min="3" max="3" width="21.1328125" style="27" customWidth="1"/>
    <col min="4" max="4" width="25.1328125" style="27" customWidth="1"/>
    <col min="5" max="5" width="34.265625" style="27" bestFit="1" customWidth="1"/>
    <col min="6" max="16384" width="45.59765625" style="27"/>
  </cols>
  <sheetData>
    <row r="1" spans="1:6" ht="36" customHeight="1" x14ac:dyDescent="0.55000000000000004">
      <c r="A1" s="257" t="s">
        <v>410</v>
      </c>
      <c r="B1" s="257"/>
      <c r="C1" s="257"/>
      <c r="D1" s="257"/>
      <c r="E1" s="257"/>
      <c r="F1" s="202"/>
    </row>
    <row r="2" spans="1:6" x14ac:dyDescent="0.45">
      <c r="A2" s="257"/>
      <c r="B2" s="257"/>
      <c r="C2" s="257"/>
      <c r="D2" s="257"/>
      <c r="E2" s="257"/>
    </row>
    <row r="3" spans="1:6" x14ac:dyDescent="0.45">
      <c r="E3" s="204" t="s">
        <v>411</v>
      </c>
    </row>
    <row r="4" spans="1:6" ht="15" customHeight="1" x14ac:dyDescent="0.45">
      <c r="A4" s="203" t="s">
        <v>404</v>
      </c>
      <c r="B4" s="205">
        <v>300</v>
      </c>
    </row>
    <row r="6" spans="1:6" x14ac:dyDescent="0.45">
      <c r="A6" s="258" t="s">
        <v>405</v>
      </c>
      <c r="B6" s="258" t="s">
        <v>406</v>
      </c>
      <c r="C6" s="258" t="s">
        <v>407</v>
      </c>
      <c r="D6" s="258" t="s">
        <v>408</v>
      </c>
      <c r="E6" s="259" t="s">
        <v>402</v>
      </c>
    </row>
    <row r="7" spans="1:6" ht="24.75" customHeight="1" x14ac:dyDescent="0.45">
      <c r="A7" s="258"/>
      <c r="B7" s="258"/>
      <c r="C7" s="258"/>
      <c r="D7" s="258"/>
      <c r="E7" s="259"/>
      <c r="F7" s="27" t="s">
        <v>418</v>
      </c>
    </row>
    <row r="8" spans="1:6" x14ac:dyDescent="0.45">
      <c r="A8" s="197" t="s">
        <v>107</v>
      </c>
      <c r="B8" s="70" t="s">
        <v>241</v>
      </c>
      <c r="C8" s="198">
        <v>216</v>
      </c>
      <c r="D8" s="70">
        <v>2E-3</v>
      </c>
      <c r="E8" s="199">
        <f t="shared" ref="E8:E18" si="0">D8*$B$4</f>
        <v>0.6</v>
      </c>
      <c r="F8" s="70">
        <v>25</v>
      </c>
    </row>
    <row r="9" spans="1:6" x14ac:dyDescent="0.45">
      <c r="A9" s="197" t="s">
        <v>117</v>
      </c>
      <c r="B9" s="70" t="s">
        <v>241</v>
      </c>
      <c r="C9" s="198">
        <v>170</v>
      </c>
      <c r="D9" s="70">
        <v>2E-3</v>
      </c>
      <c r="E9" s="199">
        <f t="shared" si="0"/>
        <v>0.6</v>
      </c>
      <c r="F9" s="70">
        <v>50</v>
      </c>
    </row>
    <row r="10" spans="1:6" x14ac:dyDescent="0.45">
      <c r="A10" s="197" t="s">
        <v>119</v>
      </c>
      <c r="B10" s="70" t="s">
        <v>241</v>
      </c>
      <c r="C10" s="198">
        <v>67</v>
      </c>
      <c r="D10" s="70">
        <v>1E-3</v>
      </c>
      <c r="E10" s="199">
        <f t="shared" si="0"/>
        <v>0.3</v>
      </c>
      <c r="F10" s="70">
        <v>50</v>
      </c>
    </row>
    <row r="11" spans="1:6" x14ac:dyDescent="0.45">
      <c r="A11" s="197" t="s">
        <v>256</v>
      </c>
      <c r="B11" s="70" t="s">
        <v>231</v>
      </c>
      <c r="C11" s="198">
        <v>430.69</v>
      </c>
      <c r="D11" s="70">
        <v>3.0000000000000001E-3</v>
      </c>
      <c r="E11" s="199">
        <f t="shared" si="0"/>
        <v>0.9</v>
      </c>
      <c r="F11" s="70">
        <v>20</v>
      </c>
    </row>
    <row r="12" spans="1:6" x14ac:dyDescent="0.45">
      <c r="A12" s="197" t="s">
        <v>124</v>
      </c>
      <c r="B12" s="70" t="s">
        <v>241</v>
      </c>
      <c r="C12" s="198">
        <v>773</v>
      </c>
      <c r="D12" s="70">
        <v>9.0000000000000011E-3</v>
      </c>
      <c r="E12" s="199">
        <f t="shared" si="0"/>
        <v>2.7</v>
      </c>
      <c r="F12" s="70">
        <v>25</v>
      </c>
    </row>
    <row r="13" spans="1:6" x14ac:dyDescent="0.45">
      <c r="A13" s="197" t="s">
        <v>126</v>
      </c>
      <c r="B13" s="70" t="s">
        <v>231</v>
      </c>
      <c r="C13" s="198">
        <v>50</v>
      </c>
      <c r="D13" s="70">
        <v>5.0000000000000001E-4</v>
      </c>
      <c r="E13" s="199">
        <f t="shared" si="0"/>
        <v>0.15</v>
      </c>
      <c r="F13" s="70">
        <v>75</v>
      </c>
    </row>
    <row r="14" spans="1:6" x14ac:dyDescent="0.45">
      <c r="A14" s="197" t="s">
        <v>242</v>
      </c>
      <c r="B14" s="70" t="s">
        <v>241</v>
      </c>
      <c r="C14" s="198">
        <v>345</v>
      </c>
      <c r="D14" s="70">
        <v>4.0000000000000001E-3</v>
      </c>
      <c r="E14" s="199">
        <f t="shared" si="0"/>
        <v>1.2</v>
      </c>
      <c r="F14" s="70">
        <v>50</v>
      </c>
    </row>
    <row r="15" spans="1:6" x14ac:dyDescent="0.45">
      <c r="A15" s="197" t="s">
        <v>131</v>
      </c>
      <c r="B15" s="70" t="s">
        <v>233</v>
      </c>
      <c r="C15" s="198">
        <v>8.6</v>
      </c>
      <c r="D15" s="70">
        <v>1E-4</v>
      </c>
      <c r="E15" s="199">
        <f t="shared" si="0"/>
        <v>3.0000000000000002E-2</v>
      </c>
      <c r="F15" s="70">
        <v>20</v>
      </c>
    </row>
    <row r="16" spans="1:6" x14ac:dyDescent="0.45">
      <c r="A16" s="197" t="s">
        <v>134</v>
      </c>
      <c r="B16" s="70" t="s">
        <v>231</v>
      </c>
      <c r="C16" s="198">
        <v>50</v>
      </c>
      <c r="D16" s="70">
        <v>5.0000000000000001E-4</v>
      </c>
      <c r="E16" s="199">
        <f t="shared" si="0"/>
        <v>0.15</v>
      </c>
      <c r="F16" s="70">
        <v>75</v>
      </c>
    </row>
    <row r="17" spans="1:6" x14ac:dyDescent="0.45">
      <c r="A17" s="197" t="s">
        <v>247</v>
      </c>
      <c r="B17" s="70" t="s">
        <v>241</v>
      </c>
      <c r="C17" s="198">
        <v>314</v>
      </c>
      <c r="D17" s="70">
        <v>6.0000000000000001E-3</v>
      </c>
      <c r="E17" s="199">
        <f t="shared" si="0"/>
        <v>1.8</v>
      </c>
      <c r="F17" s="70">
        <v>20</v>
      </c>
    </row>
    <row r="18" spans="1:6" x14ac:dyDescent="0.45">
      <c r="A18" s="197" t="s">
        <v>137</v>
      </c>
      <c r="B18" s="70" t="s">
        <v>241</v>
      </c>
      <c r="C18" s="198">
        <v>106</v>
      </c>
      <c r="D18" s="70">
        <v>2E-3</v>
      </c>
      <c r="E18" s="199">
        <f t="shared" si="0"/>
        <v>0.6</v>
      </c>
      <c r="F18" s="70">
        <v>50</v>
      </c>
    </row>
    <row r="21" spans="1:6" x14ac:dyDescent="0.45">
      <c r="A21" s="201" t="s">
        <v>14</v>
      </c>
    </row>
    <row r="22" spans="1:6" x14ac:dyDescent="0.45">
      <c r="A22" s="200" t="s">
        <v>409</v>
      </c>
    </row>
    <row r="23" spans="1:6" x14ac:dyDescent="0.45">
      <c r="A23" s="200" t="s">
        <v>403</v>
      </c>
    </row>
  </sheetData>
  <sheetProtection selectLockedCells="1"/>
  <sortState ref="A9:E18">
    <sortCondition ref="A8:A18"/>
  </sortState>
  <mergeCells count="6">
    <mergeCell ref="A1:E2"/>
    <mergeCell ref="A6:A7"/>
    <mergeCell ref="B6:B7"/>
    <mergeCell ref="C6:C7"/>
    <mergeCell ref="D6:D7"/>
    <mergeCell ref="E6:E7"/>
  </mergeCells>
  <conditionalFormatting sqref="E8:E18">
    <cfRule type="dataBar" priority="1">
      <dataBar>
        <cfvo type="min"/>
        <cfvo type="max"/>
        <color rgb="FF63C384"/>
      </dataBar>
      <extLst>
        <ext xmlns:x14="http://schemas.microsoft.com/office/spreadsheetml/2009/9/main" uri="{B025F937-C7B1-47D3-B67F-A62EFF666E3E}">
          <x14:id>{2ED03248-6D51-4BC9-90F4-36261FC42D1D}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ED03248-6D51-4BC9-90F4-36261FC42D1D}">
            <x14:dataBar minLength="0" maxLength="100" gradient="0">
              <x14:cfvo type="autoMin"/>
              <x14:cfvo type="autoMax"/>
              <x14:negativeFillColor rgb="FFFF0000"/>
              <x14:axisColor rgb="FF000000"/>
            </x14:dataBar>
          </x14:cfRule>
          <xm:sqref>E8:E18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2" sqref="A22"/>
    </sheetView>
  </sheetViews>
  <sheetFormatPr defaultRowHeight="14.25" x14ac:dyDescent="0.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5"/>
  <sheetViews>
    <sheetView topLeftCell="A3" zoomScale="75" zoomScaleNormal="75" workbookViewId="0">
      <pane xSplit="13" ySplit="4" topLeftCell="N7" activePane="bottomRight" state="frozen"/>
      <selection activeCell="A22" sqref="A22"/>
      <selection pane="topRight" activeCell="A22" sqref="A22"/>
      <selection pane="bottomLeft" activeCell="A22" sqref="A22"/>
      <selection pane="bottomRight" activeCell="A22" sqref="A22"/>
    </sheetView>
  </sheetViews>
  <sheetFormatPr defaultColWidth="14" defaultRowHeight="14.25" x14ac:dyDescent="0.45"/>
  <cols>
    <col min="1" max="1" width="9" hidden="1" customWidth="1"/>
    <col min="2" max="2" width="13.265625" hidden="1" customWidth="1"/>
    <col min="3" max="3" width="10.59765625" hidden="1" customWidth="1"/>
    <col min="4" max="4" width="58.59765625" bestFit="1" customWidth="1"/>
    <col min="5" max="5" width="13.86328125" bestFit="1" customWidth="1"/>
    <col min="6" max="6" width="9.86328125" bestFit="1" customWidth="1"/>
    <col min="7" max="7" width="15.59765625" bestFit="1" customWidth="1"/>
    <col min="8" max="8" width="20.59765625" bestFit="1" customWidth="1"/>
    <col min="9" max="9" width="7" bestFit="1" customWidth="1"/>
    <col min="10" max="11" width="10.3984375" bestFit="1" customWidth="1"/>
    <col min="12" max="12" width="11.3984375" bestFit="1" customWidth="1"/>
    <col min="13" max="13" width="19.265625" bestFit="1" customWidth="1"/>
    <col min="14" max="14" width="12.265625" bestFit="1" customWidth="1"/>
    <col min="15" max="15" width="15.1328125" customWidth="1"/>
    <col min="16" max="16" width="7" hidden="1" customWidth="1"/>
    <col min="17" max="17" width="4.59765625" hidden="1" customWidth="1"/>
    <col min="18" max="18" width="13.59765625" style="165" hidden="1" customWidth="1"/>
    <col min="19" max="19" width="9.59765625" hidden="1" customWidth="1"/>
    <col min="20" max="21" width="8.59765625" hidden="1" customWidth="1"/>
    <col min="22" max="22" width="9.59765625" hidden="1" customWidth="1"/>
    <col min="23" max="23" width="16.1328125" hidden="1" customWidth="1"/>
    <col min="24" max="24" width="7.73046875" hidden="1" customWidth="1"/>
    <col min="25" max="25" width="17.86328125" hidden="1" customWidth="1"/>
    <col min="26" max="26" width="3" hidden="1" customWidth="1"/>
    <col min="27" max="27" width="9.59765625" customWidth="1"/>
    <col min="28" max="28" width="13.86328125" hidden="1" customWidth="1"/>
    <col min="29" max="29" width="11" customWidth="1"/>
    <col min="30" max="30" width="8.73046875" customWidth="1"/>
    <col min="31" max="31" width="10.1328125" hidden="1" customWidth="1"/>
    <col min="32" max="32" width="9.86328125" bestFit="1" customWidth="1"/>
    <col min="33" max="33" width="9.265625" hidden="1" customWidth="1"/>
    <col min="34" max="34" width="9" bestFit="1" customWidth="1"/>
    <col min="35" max="35" width="9" hidden="1" customWidth="1"/>
    <col min="36" max="36" width="9" customWidth="1"/>
    <col min="37" max="37" width="9" hidden="1" customWidth="1"/>
    <col min="38" max="38" width="9" bestFit="1" customWidth="1"/>
    <col min="39" max="39" width="9" hidden="1" customWidth="1"/>
    <col min="40" max="40" width="9" customWidth="1"/>
    <col min="41" max="41" width="9" hidden="1" customWidth="1"/>
    <col min="42" max="42" width="12" bestFit="1" customWidth="1"/>
    <col min="43" max="43" width="12" hidden="1" customWidth="1"/>
    <col min="44" max="44" width="12" customWidth="1"/>
    <col min="45" max="45" width="12" hidden="1" customWidth="1"/>
    <col min="46" max="46" width="9" bestFit="1" customWidth="1"/>
    <col min="47" max="47" width="9" hidden="1" customWidth="1"/>
    <col min="48" max="48" width="9" customWidth="1"/>
    <col min="49" max="49" width="9" hidden="1" customWidth="1"/>
    <col min="50" max="50" width="11.1328125" bestFit="1" customWidth="1"/>
    <col min="51" max="51" width="3.73046875" hidden="1" customWidth="1"/>
    <col min="52" max="52" width="10.265625" customWidth="1"/>
    <col min="53" max="53" width="10.265625" hidden="1" customWidth="1"/>
    <col min="54" max="54" width="8" bestFit="1" customWidth="1"/>
    <col min="55" max="55" width="11.1328125" hidden="1" customWidth="1"/>
    <col min="56" max="56" width="14.73046875" bestFit="1" customWidth="1"/>
    <col min="58" max="58" width="0" hidden="1" customWidth="1"/>
  </cols>
  <sheetData>
    <row r="1" spans="1:59" ht="30.6" customHeight="1" x14ac:dyDescent="0.45">
      <c r="U1" s="170" t="s">
        <v>366</v>
      </c>
      <c r="W1" s="171" t="s">
        <v>367</v>
      </c>
      <c r="X1" s="172" t="s">
        <v>262</v>
      </c>
      <c r="AA1" s="180" t="s">
        <v>385</v>
      </c>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65"/>
      <c r="AZ1" s="165"/>
      <c r="BA1" s="165"/>
    </row>
    <row r="2" spans="1:59" x14ac:dyDescent="0.45">
      <c r="AA2" s="180" t="s">
        <v>386</v>
      </c>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65"/>
      <c r="AZ2" s="165"/>
      <c r="BA2" s="165"/>
    </row>
    <row r="3" spans="1:59" ht="21" x14ac:dyDescent="0.65">
      <c r="D3" s="263" t="s">
        <v>400</v>
      </c>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195"/>
      <c r="AX3" s="195"/>
      <c r="AY3" s="195"/>
      <c r="AZ3" s="195"/>
      <c r="BA3" s="191"/>
    </row>
    <row r="4" spans="1:59" ht="30.6" customHeight="1" x14ac:dyDescent="0.65">
      <c r="A4" s="260" t="s">
        <v>396</v>
      </c>
      <c r="B4" s="260"/>
      <c r="C4" s="260"/>
      <c r="D4" s="265" t="s">
        <v>225</v>
      </c>
      <c r="E4" s="265" t="s">
        <v>252</v>
      </c>
      <c r="F4" s="266" t="s">
        <v>16</v>
      </c>
      <c r="G4" s="266" t="s">
        <v>253</v>
      </c>
      <c r="H4" s="173" t="s">
        <v>358</v>
      </c>
      <c r="I4" s="173"/>
      <c r="M4" s="266" t="s">
        <v>383</v>
      </c>
      <c r="N4" s="265" t="s">
        <v>398</v>
      </c>
      <c r="P4" s="173"/>
      <c r="Q4" s="267" t="s">
        <v>362</v>
      </c>
      <c r="R4" s="267"/>
      <c r="S4" s="267"/>
      <c r="U4" s="264" t="s">
        <v>368</v>
      </c>
      <c r="V4" s="264"/>
      <c r="W4" s="264"/>
      <c r="X4" s="264"/>
      <c r="Y4" s="264"/>
      <c r="Z4" s="264"/>
      <c r="AA4" s="262" t="s">
        <v>369</v>
      </c>
      <c r="AB4" s="262"/>
      <c r="AC4" s="262"/>
      <c r="AD4" s="262" t="s">
        <v>372</v>
      </c>
      <c r="AE4" s="262"/>
      <c r="AF4" s="262"/>
      <c r="AG4" s="262"/>
      <c r="AH4" s="262" t="s">
        <v>373</v>
      </c>
      <c r="AI4" s="262"/>
      <c r="AJ4" s="262"/>
      <c r="AK4" s="262"/>
      <c r="AL4" s="262" t="s">
        <v>374</v>
      </c>
      <c r="AM4" s="262"/>
      <c r="AN4" s="262"/>
      <c r="AO4" s="262"/>
      <c r="AP4" s="262" t="s">
        <v>375</v>
      </c>
      <c r="AQ4" s="262"/>
      <c r="AR4" s="262"/>
      <c r="AS4" s="262"/>
      <c r="AT4" s="262" t="s">
        <v>376</v>
      </c>
      <c r="AU4" s="262"/>
      <c r="AV4" s="262"/>
      <c r="AW4" s="262"/>
      <c r="AX4" s="262" t="s">
        <v>377</v>
      </c>
      <c r="AY4" s="262"/>
      <c r="AZ4" s="262"/>
      <c r="BA4" s="262"/>
      <c r="BB4" s="261" t="s">
        <v>370</v>
      </c>
      <c r="BC4" s="261"/>
      <c r="BD4" s="261"/>
      <c r="BE4" s="261" t="s">
        <v>371</v>
      </c>
      <c r="BF4" s="261"/>
      <c r="BG4" s="261"/>
    </row>
    <row r="5" spans="1:59" ht="99.75" x14ac:dyDescent="0.45">
      <c r="A5" s="181" t="s">
        <v>391</v>
      </c>
      <c r="B5" s="181" t="s">
        <v>395</v>
      </c>
      <c r="C5" s="182" t="s">
        <v>394</v>
      </c>
      <c r="D5" s="265"/>
      <c r="E5" s="265"/>
      <c r="F5" s="266"/>
      <c r="G5" s="266"/>
      <c r="H5" s="174" t="s">
        <v>355</v>
      </c>
      <c r="I5" s="174" t="s">
        <v>269</v>
      </c>
      <c r="J5" t="s">
        <v>355</v>
      </c>
      <c r="K5" t="s">
        <v>269</v>
      </c>
      <c r="L5" t="s">
        <v>356</v>
      </c>
      <c r="M5" s="266"/>
      <c r="N5" s="265"/>
      <c r="O5" s="178" t="s">
        <v>399</v>
      </c>
      <c r="P5" s="174" t="s">
        <v>269</v>
      </c>
      <c r="Q5" s="166" t="s">
        <v>359</v>
      </c>
      <c r="R5" s="166" t="s">
        <v>360</v>
      </c>
      <c r="S5" s="166" t="s">
        <v>361</v>
      </c>
      <c r="T5" t="s">
        <v>359</v>
      </c>
      <c r="U5" s="96" t="s">
        <v>16</v>
      </c>
      <c r="V5" s="96" t="s">
        <v>361</v>
      </c>
      <c r="W5" s="96" t="s">
        <v>363</v>
      </c>
      <c r="X5" s="96" t="s">
        <v>254</v>
      </c>
      <c r="Y5" s="96" t="s">
        <v>364</v>
      </c>
      <c r="AA5" s="192" t="s">
        <v>386</v>
      </c>
      <c r="AB5" s="196" t="s">
        <v>381</v>
      </c>
      <c r="AC5" s="196" t="s">
        <v>382</v>
      </c>
      <c r="AD5" s="192" t="s">
        <v>386</v>
      </c>
      <c r="AE5" s="196" t="s">
        <v>381</v>
      </c>
      <c r="AF5" s="196" t="s">
        <v>382</v>
      </c>
      <c r="AG5" s="196" t="s">
        <v>393</v>
      </c>
      <c r="AH5" s="192" t="s">
        <v>386</v>
      </c>
      <c r="AI5" s="196" t="s">
        <v>381</v>
      </c>
      <c r="AJ5" s="196" t="s">
        <v>382</v>
      </c>
      <c r="AK5" s="196" t="s">
        <v>393</v>
      </c>
      <c r="AL5" s="192" t="s">
        <v>386</v>
      </c>
      <c r="AM5" s="196" t="s">
        <v>381</v>
      </c>
      <c r="AN5" s="196" t="s">
        <v>382</v>
      </c>
      <c r="AO5" s="196" t="s">
        <v>393</v>
      </c>
      <c r="AP5" s="192" t="s">
        <v>386</v>
      </c>
      <c r="AQ5" s="196" t="s">
        <v>381</v>
      </c>
      <c r="AR5" s="196" t="s">
        <v>382</v>
      </c>
      <c r="AS5" s="196" t="s">
        <v>393</v>
      </c>
      <c r="AT5" s="192" t="s">
        <v>386</v>
      </c>
      <c r="AU5" s="196" t="s">
        <v>381</v>
      </c>
      <c r="AV5" s="196" t="s">
        <v>382</v>
      </c>
      <c r="AW5" s="196" t="s">
        <v>393</v>
      </c>
      <c r="AX5" s="192" t="s">
        <v>386</v>
      </c>
      <c r="AY5" s="196" t="s">
        <v>381</v>
      </c>
      <c r="AZ5" s="196" t="s">
        <v>382</v>
      </c>
      <c r="BA5" s="112" t="s">
        <v>393</v>
      </c>
      <c r="BB5" s="163" t="s">
        <v>386</v>
      </c>
      <c r="BC5" s="112" t="s">
        <v>381</v>
      </c>
      <c r="BD5" s="112" t="s">
        <v>382</v>
      </c>
      <c r="BE5" s="163" t="s">
        <v>386</v>
      </c>
      <c r="BF5" s="112" t="s">
        <v>381</v>
      </c>
      <c r="BG5" s="112" t="s">
        <v>382</v>
      </c>
    </row>
    <row r="6" spans="1:59" ht="28.5" hidden="1" x14ac:dyDescent="0.45">
      <c r="C6" s="183"/>
      <c r="D6" s="69" t="s">
        <v>251</v>
      </c>
      <c r="E6" s="70">
        <v>25</v>
      </c>
      <c r="F6" s="156">
        <v>14193</v>
      </c>
      <c r="G6" s="70" t="s">
        <v>240</v>
      </c>
      <c r="H6" s="95">
        <f>8.4/100</f>
        <v>8.4000000000000005E-2</v>
      </c>
      <c r="I6" s="95">
        <f>12.2/100</f>
        <v>0.122</v>
      </c>
      <c r="J6" s="95">
        <f>972328/100</f>
        <v>9723.2800000000007</v>
      </c>
      <c r="K6" s="95">
        <f>1429860/100</f>
        <v>14298.6</v>
      </c>
      <c r="L6" s="167">
        <f t="shared" ref="L6:L25" si="0">(K6-J6)/K6</f>
        <v>0.31998377463527894</v>
      </c>
      <c r="M6" s="156">
        <v>216</v>
      </c>
      <c r="N6" s="70" t="s">
        <v>241</v>
      </c>
      <c r="O6" s="95">
        <f>0.2/100</f>
        <v>2E-3</v>
      </c>
      <c r="P6" s="95">
        <f>0.3/100</f>
        <v>3.0000000000000001E-3</v>
      </c>
      <c r="Q6" s="95">
        <v>80</v>
      </c>
      <c r="R6" s="164">
        <v>85</v>
      </c>
      <c r="S6" s="95">
        <v>90</v>
      </c>
      <c r="T6" s="156">
        <f t="shared" ref="T6:T25" si="1">F6/(Q6/100)</f>
        <v>17741.25</v>
      </c>
      <c r="U6" s="156">
        <f>F6/(R6/100)</f>
        <v>16697.647058823532</v>
      </c>
      <c r="V6" s="156">
        <f t="shared" ref="V6:V25" si="2">F6/(S6/100)</f>
        <v>15770</v>
      </c>
      <c r="W6" s="168">
        <f>H6/(R6/100)</f>
        <v>9.8823529411764713E-2</v>
      </c>
      <c r="X6" s="156">
        <f>M6/(R6/100)</f>
        <v>254.11764705882354</v>
      </c>
      <c r="Y6" s="168">
        <f>O6/(R6/100)</f>
        <v>2.3529411764705885E-3</v>
      </c>
      <c r="AA6">
        <v>0</v>
      </c>
    </row>
    <row r="7" spans="1:59" ht="28.5" x14ac:dyDescent="0.45">
      <c r="A7" s="179">
        <f t="shared" ref="A7:A24" si="3">ROUNDUP(AC7,0.1)</f>
        <v>5</v>
      </c>
      <c r="B7" s="179">
        <f t="shared" ref="B7:B25" si="4">SUM(AG7+AK7+AO7+AS7+AW7+BA7)</f>
        <v>8</v>
      </c>
      <c r="C7" s="184">
        <f>B7-A7</f>
        <v>3</v>
      </c>
      <c r="D7" s="69" t="s">
        <v>107</v>
      </c>
      <c r="E7" s="70">
        <v>25</v>
      </c>
      <c r="F7" s="156">
        <v>14193</v>
      </c>
      <c r="G7" s="70" t="s">
        <v>240</v>
      </c>
      <c r="H7" s="95">
        <f>8.4/100</f>
        <v>8.4000000000000005E-2</v>
      </c>
      <c r="I7" s="95">
        <f>12.2/100</f>
        <v>0.122</v>
      </c>
      <c r="J7" s="95">
        <f>972328/100</f>
        <v>9723.2800000000007</v>
      </c>
      <c r="K7" s="95">
        <f>1429860/100</f>
        <v>14298.6</v>
      </c>
      <c r="L7" s="167">
        <f t="shared" si="0"/>
        <v>0.31998377463527894</v>
      </c>
      <c r="M7" s="156">
        <v>216</v>
      </c>
      <c r="N7" s="70" t="s">
        <v>241</v>
      </c>
      <c r="O7" s="164">
        <f>0.2/100</f>
        <v>2E-3</v>
      </c>
      <c r="P7" s="95">
        <f>0.3/100</f>
        <v>3.0000000000000001E-3</v>
      </c>
      <c r="Q7" s="95">
        <v>70</v>
      </c>
      <c r="R7" s="164">
        <v>75</v>
      </c>
      <c r="S7" s="95">
        <v>80</v>
      </c>
      <c r="T7" s="156">
        <f t="shared" si="1"/>
        <v>20275.714285714286</v>
      </c>
      <c r="U7" s="156">
        <f>F7/(R7/100)</f>
        <v>18924</v>
      </c>
      <c r="V7" s="156">
        <f t="shared" si="2"/>
        <v>17741.25</v>
      </c>
      <c r="W7" s="168">
        <f>H7/(R7/100)</f>
        <v>0.112</v>
      </c>
      <c r="X7" s="156">
        <f>M7/(R7/100)</f>
        <v>288</v>
      </c>
      <c r="Y7" s="168">
        <f>O7/(R7/100)</f>
        <v>2.6666666666666666E-3</v>
      </c>
      <c r="AA7" s="179">
        <f>'[1]Regional Totals'!$D$1</f>
        <v>2361.8550000000005</v>
      </c>
      <c r="AB7" s="179">
        <f>AA7*M7</f>
        <v>510160.68000000011</v>
      </c>
      <c r="AC7" s="179">
        <f>AA7*O7</f>
        <v>4.7237100000000014</v>
      </c>
      <c r="AD7" s="179">
        <f>[1]UrbanBmpsSubmitted!$D$159+[1]UrbanBmpsSubmitted!$D$160</f>
        <v>222.31900000000002</v>
      </c>
      <c r="AE7" s="179">
        <f t="shared" ref="AE7:AE25" si="5">AD7*M7</f>
        <v>48020.904000000002</v>
      </c>
      <c r="AF7" s="179">
        <f>AD7*O7</f>
        <v>0.44463800000000003</v>
      </c>
      <c r="AG7" s="179">
        <f>ROUNDUP(AF7,0.1)</f>
        <v>1</v>
      </c>
      <c r="AH7" s="179">
        <f>[1]UrbanBmpsSubmitted!$D$163+[1]UrbanBmpsSubmitted!$D$164+[1]UrbanBmpsSubmitted!$D$173+[1]UrbanBmpsSubmitted!$D$174</f>
        <v>576.01900000000001</v>
      </c>
      <c r="AI7" s="179">
        <f t="shared" ref="AI7:AI25" si="6">AH7*M7</f>
        <v>124420.10400000001</v>
      </c>
      <c r="AJ7" s="179">
        <f t="shared" ref="AJ7:AJ25" si="7">AH7*O7</f>
        <v>1.1520380000000001</v>
      </c>
      <c r="AK7" s="179">
        <f>ROUNDUP(AJ7,0.1)</f>
        <v>2</v>
      </c>
      <c r="AL7" s="179">
        <f>[1]UrbanBmpsSubmitted!$D$161+[1]UrbanBmpsSubmitted!$D$162</f>
        <v>445.18100000000004</v>
      </c>
      <c r="AM7" s="179">
        <f t="shared" ref="AM7:AM25" si="8">AL7*M7</f>
        <v>96159.096000000005</v>
      </c>
      <c r="AN7" s="179">
        <f t="shared" ref="AN7:AN25" si="9">AL7*O7</f>
        <v>0.8903620000000001</v>
      </c>
      <c r="AO7" s="179">
        <f>ROUNDUP(AN7,0.1)</f>
        <v>1</v>
      </c>
      <c r="AP7" s="179">
        <f>[1]UrbanBmpsSubmitted!$D$171+[1]UrbanBmpsSubmitted!$D$172</f>
        <v>688.47900000000004</v>
      </c>
      <c r="AQ7" s="179">
        <f t="shared" ref="AQ7:AQ25" si="10">AP7*M7</f>
        <v>148711.46400000001</v>
      </c>
      <c r="AR7" s="179">
        <f t="shared" ref="AR7:AR25" si="11">AP7*O7</f>
        <v>1.3769580000000001</v>
      </c>
      <c r="AS7" s="179">
        <f>ROUNDUP(AR7,0.1)</f>
        <v>2</v>
      </c>
      <c r="AT7" s="179">
        <f>[1]UrbanBmpsSubmitted!$D$169+[1]UrbanBmpsSubmitted!$D$170</f>
        <v>420.25300000000004</v>
      </c>
      <c r="AU7" s="179">
        <f t="shared" ref="AU7:AU25" si="12">AT7*M7</f>
        <v>90774.648000000016</v>
      </c>
      <c r="AV7" s="179">
        <f t="shared" ref="AV7:AV25" si="13">AT7*O7</f>
        <v>0.84050600000000009</v>
      </c>
      <c r="AW7" s="179">
        <f>ROUNDUP(AV7,0.1)</f>
        <v>1</v>
      </c>
      <c r="AX7" s="179">
        <f>[1]UrbanBmpsSubmitted!$D$165+[1]UrbanBmpsSubmitted!$D$166+[1]UrbanBmpsSubmitted!$D$167+[1]UrbanBmpsSubmitted!$D$168</f>
        <v>9.604000000000001</v>
      </c>
      <c r="AY7" s="179"/>
      <c r="AZ7" s="179">
        <f t="shared" ref="AZ7:AZ25" si="14">AX7*O7</f>
        <v>1.9208000000000003E-2</v>
      </c>
      <c r="BA7" s="179">
        <f>ROUNDUP(AZ7,0.1)</f>
        <v>1</v>
      </c>
      <c r="BB7" s="179">
        <f>'[1]Regulated Totals'!$B$3</f>
        <v>25.279</v>
      </c>
      <c r="BC7" s="179">
        <f t="shared" ref="BC7:BC25" si="15">BB7*M7</f>
        <v>5460.2640000000001</v>
      </c>
      <c r="BD7" s="179">
        <f t="shared" ref="BD7:BD25" si="16">O7*BB7</f>
        <v>5.0557999999999999E-2</v>
      </c>
      <c r="BE7" s="179">
        <f t="shared" ref="BE7:BE25" si="17">AA7-BB7</f>
        <v>2336.5760000000005</v>
      </c>
      <c r="BF7" s="179">
        <f t="shared" ref="BF7:BF25" si="18">BE7*M7</f>
        <v>504700.41600000008</v>
      </c>
      <c r="BG7" s="179">
        <f t="shared" ref="BG7:BG25" si="19">O7*BE7</f>
        <v>4.6731520000000009</v>
      </c>
    </row>
    <row r="8" spans="1:59" ht="28.5" hidden="1" x14ac:dyDescent="0.45">
      <c r="A8" s="179">
        <f t="shared" si="3"/>
        <v>1</v>
      </c>
      <c r="B8" s="179">
        <f t="shared" si="4"/>
        <v>0</v>
      </c>
      <c r="C8" s="184">
        <f t="shared" ref="C8:C25" si="20">B8-A8</f>
        <v>-1</v>
      </c>
      <c r="D8" s="69" t="s">
        <v>244</v>
      </c>
      <c r="E8" s="70">
        <v>50</v>
      </c>
      <c r="F8" s="156">
        <v>12557</v>
      </c>
      <c r="G8" s="70" t="s">
        <v>240</v>
      </c>
      <c r="H8" s="95">
        <f>7.4/100</f>
        <v>7.400000000000001E-2</v>
      </c>
      <c r="I8" s="95">
        <f>10.8/100</f>
        <v>0.10800000000000001</v>
      </c>
      <c r="J8" s="95">
        <f>860249/100</f>
        <v>8602.49</v>
      </c>
      <c r="K8" s="95">
        <f>1265042/100</f>
        <v>12650.42</v>
      </c>
      <c r="L8" s="167">
        <f t="shared" si="0"/>
        <v>0.31998384243368999</v>
      </c>
      <c r="M8" s="156">
        <v>388</v>
      </c>
      <c r="N8" s="70" t="s">
        <v>241</v>
      </c>
      <c r="O8" s="164">
        <f>0.4/100</f>
        <v>4.0000000000000001E-3</v>
      </c>
      <c r="P8" s="95">
        <f>0.6/100</f>
        <v>6.0000000000000001E-3</v>
      </c>
      <c r="Q8" s="95">
        <v>70</v>
      </c>
      <c r="R8" s="164">
        <v>75</v>
      </c>
      <c r="S8" s="95">
        <v>80</v>
      </c>
      <c r="T8" s="156">
        <f t="shared" si="1"/>
        <v>17938.571428571431</v>
      </c>
      <c r="U8" s="156">
        <f>F8/(R8/100)</f>
        <v>16742.666666666668</v>
      </c>
      <c r="V8" s="156">
        <f t="shared" si="2"/>
        <v>15696.25</v>
      </c>
      <c r="W8" s="168">
        <f>H8/(R8/100)</f>
        <v>9.866666666666668E-2</v>
      </c>
      <c r="X8" s="156">
        <f>M8/(R8/100)</f>
        <v>517.33333333333337</v>
      </c>
      <c r="Y8" s="168">
        <f>O8/(R8/100)</f>
        <v>5.3333333333333332E-3</v>
      </c>
      <c r="AA8" s="179">
        <f>'[1]Regional Totals'!$D$2</f>
        <v>18.835000000000001</v>
      </c>
      <c r="AB8" s="179">
        <f t="shared" ref="AB8:AB25" si="21">AA8*M8</f>
        <v>7307.9800000000005</v>
      </c>
      <c r="AC8" s="179">
        <f t="shared" ref="AC8:AC25" si="22">AA8*O8</f>
        <v>7.5340000000000004E-2</v>
      </c>
      <c r="AD8" s="179"/>
      <c r="AE8" s="179">
        <f t="shared" si="5"/>
        <v>0</v>
      </c>
      <c r="AF8" s="179">
        <f t="shared" ref="AF8:AF25" si="23">AD8*O8</f>
        <v>0</v>
      </c>
      <c r="AG8" s="179">
        <f t="shared" ref="AG8:AG25" si="24">ROUNDUP(AF8,0.1)</f>
        <v>0</v>
      </c>
      <c r="AH8" s="179"/>
      <c r="AI8" s="179">
        <f t="shared" si="6"/>
        <v>0</v>
      </c>
      <c r="AJ8" s="179">
        <f t="shared" si="7"/>
        <v>0</v>
      </c>
      <c r="AK8" s="179">
        <f t="shared" ref="AK8:AK25" si="25">ROUNDUP(AJ8,0.1)</f>
        <v>0</v>
      </c>
      <c r="AL8" s="179"/>
      <c r="AM8" s="179">
        <f t="shared" si="8"/>
        <v>0</v>
      </c>
      <c r="AN8" s="179">
        <f t="shared" si="9"/>
        <v>0</v>
      </c>
      <c r="AO8" s="179">
        <f t="shared" ref="AO8:AO25" si="26">ROUNDUP(AN8,0.1)</f>
        <v>0</v>
      </c>
      <c r="AP8" s="179"/>
      <c r="AQ8" s="179">
        <f t="shared" si="10"/>
        <v>0</v>
      </c>
      <c r="AR8" s="179">
        <f t="shared" si="11"/>
        <v>0</v>
      </c>
      <c r="AS8" s="179">
        <f t="shared" ref="AS8:AS25" si="27">ROUNDUP(AR8,0.1)</f>
        <v>0</v>
      </c>
      <c r="AT8" s="179"/>
      <c r="AU8" s="179">
        <f t="shared" si="12"/>
        <v>0</v>
      </c>
      <c r="AV8" s="179">
        <f t="shared" si="13"/>
        <v>0</v>
      </c>
      <c r="AW8" s="179">
        <f t="shared" ref="AW8:AW25" si="28">ROUNDUP(AV8,0.1)</f>
        <v>0</v>
      </c>
      <c r="AX8" s="179"/>
      <c r="AY8" s="179"/>
      <c r="AZ8" s="179">
        <f t="shared" si="14"/>
        <v>0</v>
      </c>
      <c r="BA8" s="179">
        <f t="shared" ref="BA8:BA25" si="29">ROUNDUP(AZ8,0.1)</f>
        <v>0</v>
      </c>
      <c r="BB8" s="179">
        <f>'[1]Regulated Totals'!$B$4</f>
        <v>18.835000000000001</v>
      </c>
      <c r="BC8" s="179">
        <f t="shared" si="15"/>
        <v>7307.9800000000005</v>
      </c>
      <c r="BD8" s="179">
        <f t="shared" si="16"/>
        <v>7.5340000000000004E-2</v>
      </c>
      <c r="BE8" s="179">
        <f t="shared" si="17"/>
        <v>0</v>
      </c>
      <c r="BF8" s="179">
        <f t="shared" si="18"/>
        <v>0</v>
      </c>
      <c r="BG8" s="179">
        <f t="shared" si="19"/>
        <v>0</v>
      </c>
    </row>
    <row r="9" spans="1:59" ht="28.5" x14ac:dyDescent="0.45">
      <c r="A9" s="179">
        <f t="shared" si="3"/>
        <v>10</v>
      </c>
      <c r="B9" s="179">
        <f t="shared" si="4"/>
        <v>12</v>
      </c>
      <c r="C9" s="184">
        <f t="shared" si="20"/>
        <v>2</v>
      </c>
      <c r="D9" s="69" t="s">
        <v>117</v>
      </c>
      <c r="E9" s="70">
        <v>50</v>
      </c>
      <c r="F9" s="156">
        <v>10600</v>
      </c>
      <c r="G9" s="70" t="s">
        <v>240</v>
      </c>
      <c r="H9" s="95">
        <f>10.8/100</f>
        <v>0.10800000000000001</v>
      </c>
      <c r="I9" s="95">
        <f>15.1/100</f>
        <v>0.151</v>
      </c>
      <c r="J9" s="95">
        <f>1059999/100</f>
        <v>10599.99</v>
      </c>
      <c r="K9" s="95">
        <f>1565629/100</f>
        <v>15656.29</v>
      </c>
      <c r="L9" s="167">
        <f t="shared" si="0"/>
        <v>0.32295646031083997</v>
      </c>
      <c r="M9" s="156">
        <v>170</v>
      </c>
      <c r="N9" s="70" t="s">
        <v>241</v>
      </c>
      <c r="O9" s="164">
        <f>0.2/100</f>
        <v>2E-3</v>
      </c>
      <c r="P9" s="95">
        <f>0.3/100</f>
        <v>3.0000000000000001E-3</v>
      </c>
      <c r="Q9" s="95">
        <v>5</v>
      </c>
      <c r="R9" s="164">
        <v>10</v>
      </c>
      <c r="S9" s="95">
        <v>10</v>
      </c>
      <c r="T9" s="156">
        <f t="shared" si="1"/>
        <v>212000</v>
      </c>
      <c r="U9" s="156">
        <f>F9/(R9/100)</f>
        <v>106000</v>
      </c>
      <c r="V9" s="156">
        <f t="shared" si="2"/>
        <v>106000</v>
      </c>
      <c r="W9" s="168">
        <f>H9/(R9/100)</f>
        <v>1.08</v>
      </c>
      <c r="X9" s="156">
        <f>M9/(R9/100)</f>
        <v>1700</v>
      </c>
      <c r="Y9" s="168">
        <f>O9/(R9/100)</f>
        <v>0.02</v>
      </c>
      <c r="AA9" s="179">
        <f>'[1]Regional Totals'!$D$3</f>
        <v>4784.1710000000003</v>
      </c>
      <c r="AB9" s="179">
        <f t="shared" si="21"/>
        <v>813309.07000000007</v>
      </c>
      <c r="AC9" s="179">
        <f t="shared" si="22"/>
        <v>9.5683420000000012</v>
      </c>
      <c r="AD9" s="179">
        <f>'Regional Staffing Costs'!AB8</f>
        <v>375.31200000000001</v>
      </c>
      <c r="AE9" s="179">
        <f t="shared" si="5"/>
        <v>63803.040000000001</v>
      </c>
      <c r="AF9" s="179">
        <f t="shared" si="23"/>
        <v>0.75062400000000007</v>
      </c>
      <c r="AG9" s="179">
        <f t="shared" si="24"/>
        <v>1</v>
      </c>
      <c r="AH9" s="179">
        <f>'Regional Staffing Costs'!AE8</f>
        <v>1479.5340000000001</v>
      </c>
      <c r="AI9" s="179">
        <f t="shared" si="6"/>
        <v>251520.78000000003</v>
      </c>
      <c r="AJ9" s="179">
        <f t="shared" si="7"/>
        <v>2.9590680000000003</v>
      </c>
      <c r="AK9" s="179">
        <f t="shared" si="25"/>
        <v>3</v>
      </c>
      <c r="AL9" s="179">
        <f>'Regional Staffing Costs'!AH8</f>
        <v>747.649</v>
      </c>
      <c r="AM9" s="179">
        <f t="shared" si="8"/>
        <v>127100.33</v>
      </c>
      <c r="AN9" s="179">
        <f t="shared" si="9"/>
        <v>1.495298</v>
      </c>
      <c r="AO9" s="179">
        <f t="shared" si="26"/>
        <v>2</v>
      </c>
      <c r="AP9" s="179">
        <f>'Regional Staffing Costs'!AK8</f>
        <v>1163.404</v>
      </c>
      <c r="AQ9" s="179">
        <f t="shared" si="10"/>
        <v>197778.68</v>
      </c>
      <c r="AR9" s="179">
        <f t="shared" si="11"/>
        <v>2.3268080000000002</v>
      </c>
      <c r="AS9" s="179">
        <f t="shared" si="27"/>
        <v>3</v>
      </c>
      <c r="AT9" s="179">
        <f>'Regional Staffing Costs'!AN8</f>
        <v>711.91599999999994</v>
      </c>
      <c r="AU9" s="179">
        <f t="shared" si="12"/>
        <v>121025.71999999999</v>
      </c>
      <c r="AV9" s="179">
        <f t="shared" si="13"/>
        <v>1.423832</v>
      </c>
      <c r="AW9" s="179">
        <f t="shared" si="28"/>
        <v>2</v>
      </c>
      <c r="AX9" s="179">
        <f>'Regional Staffing Costs'!AQ8</f>
        <v>305.93599999999998</v>
      </c>
      <c r="AY9" s="179"/>
      <c r="AZ9" s="179">
        <f t="shared" si="14"/>
        <v>0.61187199999999997</v>
      </c>
      <c r="BA9" s="179">
        <f t="shared" si="29"/>
        <v>1</v>
      </c>
      <c r="BB9" s="179">
        <f>'[1]Regulated Totals'!$B$6</f>
        <v>836.2589999999999</v>
      </c>
      <c r="BC9" s="179">
        <f t="shared" si="15"/>
        <v>142164.02999999997</v>
      </c>
      <c r="BD9" s="179">
        <f t="shared" si="16"/>
        <v>1.6725179999999997</v>
      </c>
      <c r="BE9" s="179">
        <f t="shared" si="17"/>
        <v>3947.9120000000003</v>
      </c>
      <c r="BF9" s="179">
        <f t="shared" si="18"/>
        <v>671145.04</v>
      </c>
      <c r="BG9" s="179">
        <f t="shared" si="19"/>
        <v>7.8958240000000011</v>
      </c>
    </row>
    <row r="10" spans="1:59" ht="28.5" x14ac:dyDescent="0.45">
      <c r="A10" s="179">
        <f t="shared" si="3"/>
        <v>10</v>
      </c>
      <c r="B10" s="179">
        <f t="shared" si="4"/>
        <v>13</v>
      </c>
      <c r="C10" s="184">
        <f t="shared" si="20"/>
        <v>3</v>
      </c>
      <c r="D10" s="69" t="s">
        <v>119</v>
      </c>
      <c r="E10" s="70">
        <v>50</v>
      </c>
      <c r="F10" s="156">
        <v>4743</v>
      </c>
      <c r="G10" s="70" t="s">
        <v>240</v>
      </c>
      <c r="H10" s="95">
        <f>2.8/100</f>
        <v>2.7999999999999997E-2</v>
      </c>
      <c r="I10" s="95">
        <f t="shared" ref="I10:I25" si="30">4.1/100</f>
        <v>4.0999999999999995E-2</v>
      </c>
      <c r="J10" s="95">
        <f>324865/100</f>
        <v>3248.65</v>
      </c>
      <c r="K10" s="95">
        <f>477728/100</f>
        <v>4777.28</v>
      </c>
      <c r="L10" s="167">
        <f t="shared" si="0"/>
        <v>0.31997915131623011</v>
      </c>
      <c r="M10" s="156">
        <v>67</v>
      </c>
      <c r="N10" s="70" t="s">
        <v>241</v>
      </c>
      <c r="O10" s="164">
        <f>0.1/100</f>
        <v>1E-3</v>
      </c>
      <c r="P10" s="95">
        <f>0.1/100</f>
        <v>1E-3</v>
      </c>
      <c r="Q10" s="95">
        <v>20</v>
      </c>
      <c r="R10" s="164">
        <v>20</v>
      </c>
      <c r="S10" s="95">
        <v>60</v>
      </c>
      <c r="T10" s="156">
        <f t="shared" si="1"/>
        <v>23715</v>
      </c>
      <c r="U10" s="156">
        <f>F10/(R10/100)</f>
        <v>23715</v>
      </c>
      <c r="V10" s="156">
        <f t="shared" si="2"/>
        <v>7905</v>
      </c>
      <c r="W10" s="168">
        <f>H10/(R10/100)</f>
        <v>0.13999999999999999</v>
      </c>
      <c r="X10" s="156">
        <f>M10/(R10/100)</f>
        <v>335</v>
      </c>
      <c r="Y10" s="168">
        <f>O10/(R10/100)</f>
        <v>5.0000000000000001E-3</v>
      </c>
      <c r="AA10" s="179">
        <f>'[1]Regional Totals'!$D$4</f>
        <v>9647.7789999999986</v>
      </c>
      <c r="AB10" s="179">
        <f t="shared" si="21"/>
        <v>646401.19299999985</v>
      </c>
      <c r="AC10" s="179">
        <f t="shared" si="22"/>
        <v>9.6477789999999981</v>
      </c>
      <c r="AD10" s="179">
        <f>'Regional Staffing Costs'!AB9</f>
        <v>778.12599999999998</v>
      </c>
      <c r="AE10" s="179">
        <f t="shared" si="5"/>
        <v>52134.441999999995</v>
      </c>
      <c r="AF10" s="179">
        <f t="shared" si="23"/>
        <v>0.77812599999999998</v>
      </c>
      <c r="AG10" s="179">
        <f t="shared" si="24"/>
        <v>1</v>
      </c>
      <c r="AH10" s="179">
        <f>'Regional Staffing Costs'!AE9</f>
        <v>3074.9169999999999</v>
      </c>
      <c r="AI10" s="179">
        <f t="shared" si="6"/>
        <v>206019.43899999998</v>
      </c>
      <c r="AJ10" s="179">
        <f t="shared" si="7"/>
        <v>3.0749170000000001</v>
      </c>
      <c r="AK10" s="179">
        <f t="shared" si="25"/>
        <v>4</v>
      </c>
      <c r="AL10" s="179">
        <f>'Regional Staffing Costs'!AH9</f>
        <v>1554.941</v>
      </c>
      <c r="AM10" s="179">
        <f t="shared" si="8"/>
        <v>104181.04700000001</v>
      </c>
      <c r="AN10" s="179">
        <f t="shared" si="9"/>
        <v>1.5549410000000001</v>
      </c>
      <c r="AO10" s="179">
        <f t="shared" si="26"/>
        <v>2</v>
      </c>
      <c r="AP10" s="179">
        <f>'Regional Staffing Costs'!AK9</f>
        <v>2410.6489999999999</v>
      </c>
      <c r="AQ10" s="179">
        <f t="shared" si="10"/>
        <v>161513.48299999998</v>
      </c>
      <c r="AR10" s="179">
        <f t="shared" si="11"/>
        <v>2.4106489999999998</v>
      </c>
      <c r="AS10" s="179">
        <f t="shared" si="27"/>
        <v>3</v>
      </c>
      <c r="AT10" s="179">
        <f>'Regional Staffing Costs'!AN9</f>
        <v>1473.2809999999999</v>
      </c>
      <c r="AU10" s="179">
        <f t="shared" si="12"/>
        <v>98709.82699999999</v>
      </c>
      <c r="AV10" s="179">
        <f t="shared" si="13"/>
        <v>1.4732810000000001</v>
      </c>
      <c r="AW10" s="179">
        <f t="shared" si="28"/>
        <v>2</v>
      </c>
      <c r="AX10" s="179">
        <f>'Regional Staffing Costs'!AQ9</f>
        <v>534.43299999999999</v>
      </c>
      <c r="AY10" s="179"/>
      <c r="AZ10" s="179">
        <f t="shared" si="14"/>
        <v>0.53443300000000005</v>
      </c>
      <c r="BA10" s="179">
        <f t="shared" si="29"/>
        <v>1</v>
      </c>
      <c r="BB10" s="179">
        <f>'[1]Regulated Totals'!$B$7</f>
        <v>1466.8689999999999</v>
      </c>
      <c r="BC10" s="179">
        <f t="shared" si="15"/>
        <v>98280.222999999998</v>
      </c>
      <c r="BD10" s="179">
        <f t="shared" si="16"/>
        <v>1.466869</v>
      </c>
      <c r="BE10" s="179">
        <f t="shared" si="17"/>
        <v>8180.9099999999989</v>
      </c>
      <c r="BF10" s="179">
        <f t="shared" si="18"/>
        <v>548120.97</v>
      </c>
      <c r="BG10" s="179">
        <f t="shared" si="19"/>
        <v>8.180909999999999</v>
      </c>
    </row>
    <row r="11" spans="1:59" x14ac:dyDescent="0.45">
      <c r="A11" s="179">
        <f t="shared" si="3"/>
        <v>62</v>
      </c>
      <c r="B11" s="179">
        <f t="shared" si="4"/>
        <v>66</v>
      </c>
      <c r="C11" s="184">
        <f t="shared" si="20"/>
        <v>4</v>
      </c>
      <c r="D11" s="69" t="s">
        <v>236</v>
      </c>
      <c r="E11" s="70">
        <v>20</v>
      </c>
      <c r="F11" s="156">
        <v>101956</v>
      </c>
      <c r="G11" s="70" t="s">
        <v>230</v>
      </c>
      <c r="H11" s="95">
        <v>0.9</v>
      </c>
      <c r="I11" s="95">
        <f t="shared" si="30"/>
        <v>4.0999999999999995E-2</v>
      </c>
      <c r="J11" s="95">
        <v>89577</v>
      </c>
      <c r="K11" s="70">
        <v>132598</v>
      </c>
      <c r="L11" s="167">
        <f t="shared" si="0"/>
        <v>0.32444682423565968</v>
      </c>
      <c r="M11" s="156">
        <v>3610</v>
      </c>
      <c r="N11" s="70" t="s">
        <v>237</v>
      </c>
      <c r="O11" s="164">
        <f>4.1/100</f>
        <v>4.0999999999999995E-2</v>
      </c>
      <c r="P11" s="95">
        <f>5.4/100</f>
        <v>5.4000000000000006E-2</v>
      </c>
      <c r="Q11" s="95" t="s">
        <v>357</v>
      </c>
      <c r="R11" s="169" t="s">
        <v>365</v>
      </c>
      <c r="S11" s="95" t="s">
        <v>357</v>
      </c>
      <c r="T11" s="156" t="e">
        <f t="shared" si="1"/>
        <v>#VALUE!</v>
      </c>
      <c r="U11" s="156" t="s">
        <v>348</v>
      </c>
      <c r="V11" s="156" t="e">
        <f t="shared" si="2"/>
        <v>#VALUE!</v>
      </c>
      <c r="W11" s="168" t="s">
        <v>348</v>
      </c>
      <c r="X11" s="156" t="s">
        <v>348</v>
      </c>
      <c r="Y11" s="168" t="s">
        <v>348</v>
      </c>
      <c r="AA11" s="179">
        <f>'[1]Regional Totals'!$D$6</f>
        <v>1505.3120000000001</v>
      </c>
      <c r="AB11" s="179">
        <f t="shared" si="21"/>
        <v>5434176.3200000003</v>
      </c>
      <c r="AC11" s="179">
        <f t="shared" si="22"/>
        <v>61.717791999999996</v>
      </c>
      <c r="AD11" s="179">
        <f>'Regional Staffing Costs'!AB10</f>
        <v>125.672</v>
      </c>
      <c r="AE11" s="179">
        <f t="shared" si="5"/>
        <v>453675.92</v>
      </c>
      <c r="AF11" s="179">
        <f t="shared" si="23"/>
        <v>5.1525519999999991</v>
      </c>
      <c r="AG11" s="179">
        <f t="shared" si="24"/>
        <v>6</v>
      </c>
      <c r="AH11" s="179">
        <f>'Regional Staffing Costs'!AE10</f>
        <v>420.483</v>
      </c>
      <c r="AI11" s="179">
        <f t="shared" si="6"/>
        <v>1517943.6300000001</v>
      </c>
      <c r="AJ11" s="179">
        <f t="shared" si="7"/>
        <v>17.239802999999998</v>
      </c>
      <c r="AK11" s="179">
        <f t="shared" si="25"/>
        <v>18</v>
      </c>
      <c r="AL11" s="179">
        <f>'Regional Staffing Costs'!AH10</f>
        <v>224.84399999999999</v>
      </c>
      <c r="AM11" s="179">
        <f t="shared" si="8"/>
        <v>811686.84</v>
      </c>
      <c r="AN11" s="179">
        <f t="shared" si="9"/>
        <v>9.2186039999999991</v>
      </c>
      <c r="AO11" s="179">
        <f t="shared" si="26"/>
        <v>10</v>
      </c>
      <c r="AP11" s="179">
        <f>'Regional Staffing Costs'!AK10</f>
        <v>397.16</v>
      </c>
      <c r="AQ11" s="179">
        <f t="shared" si="10"/>
        <v>1433747.6</v>
      </c>
      <c r="AR11" s="179">
        <f t="shared" si="11"/>
        <v>16.283559999999998</v>
      </c>
      <c r="AS11" s="179">
        <f t="shared" si="27"/>
        <v>17</v>
      </c>
      <c r="AT11" s="179">
        <f>'Regional Staffing Costs'!AN10</f>
        <v>257.57</v>
      </c>
      <c r="AU11" s="179">
        <f t="shared" si="12"/>
        <v>929827.7</v>
      </c>
      <c r="AV11" s="179">
        <f t="shared" si="13"/>
        <v>10.560369999999999</v>
      </c>
      <c r="AW11" s="179">
        <f t="shared" si="28"/>
        <v>11</v>
      </c>
      <c r="AX11" s="179">
        <f>'Regional Staffing Costs'!AQ10</f>
        <v>79.582999999999998</v>
      </c>
      <c r="AY11" s="179"/>
      <c r="AZ11" s="179">
        <f t="shared" si="14"/>
        <v>3.2629029999999997</v>
      </c>
      <c r="BA11" s="179">
        <f t="shared" si="29"/>
        <v>4</v>
      </c>
      <c r="BB11" s="179">
        <f>'[1]Regulated Totals'!$B$10</f>
        <v>160.63900000000001</v>
      </c>
      <c r="BC11" s="179">
        <f t="shared" si="15"/>
        <v>579906.79</v>
      </c>
      <c r="BD11" s="179">
        <f t="shared" si="16"/>
        <v>6.5861989999999997</v>
      </c>
      <c r="BE11" s="179">
        <f t="shared" si="17"/>
        <v>1344.6730000000002</v>
      </c>
      <c r="BF11" s="179">
        <f t="shared" si="18"/>
        <v>4854269.5300000012</v>
      </c>
      <c r="BG11" s="179">
        <f t="shared" si="19"/>
        <v>55.131593000000002</v>
      </c>
    </row>
    <row r="12" spans="1:59" ht="28.5" hidden="1" x14ac:dyDescent="0.45">
      <c r="A12" s="179">
        <f t="shared" si="3"/>
        <v>1</v>
      </c>
      <c r="B12" s="179">
        <f t="shared" si="4"/>
        <v>0</v>
      </c>
      <c r="C12" s="184">
        <f t="shared" si="20"/>
        <v>-1</v>
      </c>
      <c r="D12" s="69" t="s">
        <v>245</v>
      </c>
      <c r="E12" s="70">
        <v>20</v>
      </c>
      <c r="F12" s="156">
        <v>101956</v>
      </c>
      <c r="G12" s="70" t="s">
        <v>246</v>
      </c>
      <c r="H12" s="95">
        <v>0.9</v>
      </c>
      <c r="I12" s="95">
        <f t="shared" si="30"/>
        <v>4.0999999999999995E-2</v>
      </c>
      <c r="J12" s="70">
        <v>89577</v>
      </c>
      <c r="K12" s="70">
        <v>132598</v>
      </c>
      <c r="L12" s="167">
        <f t="shared" si="0"/>
        <v>0.32444682423565968</v>
      </c>
      <c r="M12" s="156">
        <v>3610</v>
      </c>
      <c r="N12" s="70" t="s">
        <v>241</v>
      </c>
      <c r="O12" s="70">
        <v>4.1000000000000002E-2</v>
      </c>
      <c r="P12" s="70">
        <v>5.3999999999999999E-2</v>
      </c>
      <c r="Q12" s="95">
        <v>75</v>
      </c>
      <c r="R12" s="164">
        <v>80</v>
      </c>
      <c r="S12" s="95">
        <v>85</v>
      </c>
      <c r="T12" s="156">
        <f t="shared" si="1"/>
        <v>135941.33333333334</v>
      </c>
      <c r="U12" s="156">
        <f>F12/(R12/100)</f>
        <v>127445</v>
      </c>
      <c r="V12" s="156">
        <f t="shared" si="2"/>
        <v>119948.23529411765</v>
      </c>
      <c r="W12" s="168">
        <f>H12/(R12/100)</f>
        <v>1.125</v>
      </c>
      <c r="X12" s="156">
        <f>M12/(R12/100)</f>
        <v>4512.5</v>
      </c>
      <c r="Y12" s="168">
        <f>O12/(R12/100)</f>
        <v>5.1249999999999997E-2</v>
      </c>
      <c r="AA12" s="179">
        <f>'[1]Regional Totals'!$D$7</f>
        <v>4.1099999999999994</v>
      </c>
      <c r="AB12" s="179">
        <f t="shared" si="21"/>
        <v>14837.099999999999</v>
      </c>
      <c r="AC12" s="179">
        <f t="shared" si="22"/>
        <v>0.16850999999999999</v>
      </c>
      <c r="AD12" s="179"/>
      <c r="AE12" s="179">
        <f t="shared" si="5"/>
        <v>0</v>
      </c>
      <c r="AF12" s="179">
        <f t="shared" si="23"/>
        <v>0</v>
      </c>
      <c r="AG12" s="179">
        <f t="shared" si="24"/>
        <v>0</v>
      </c>
      <c r="AH12" s="179"/>
      <c r="AI12" s="179">
        <f t="shared" si="6"/>
        <v>0</v>
      </c>
      <c r="AJ12" s="179">
        <f t="shared" si="7"/>
        <v>0</v>
      </c>
      <c r="AK12" s="179">
        <f t="shared" si="25"/>
        <v>0</v>
      </c>
      <c r="AL12" s="179"/>
      <c r="AM12" s="179">
        <f t="shared" si="8"/>
        <v>0</v>
      </c>
      <c r="AN12" s="179">
        <f t="shared" si="9"/>
        <v>0</v>
      </c>
      <c r="AO12" s="179">
        <f t="shared" si="26"/>
        <v>0</v>
      </c>
      <c r="AP12" s="179"/>
      <c r="AQ12" s="179">
        <f t="shared" si="10"/>
        <v>0</v>
      </c>
      <c r="AR12" s="179">
        <f t="shared" si="11"/>
        <v>0</v>
      </c>
      <c r="AS12" s="179">
        <f t="shared" si="27"/>
        <v>0</v>
      </c>
      <c r="AT12" s="179"/>
      <c r="AU12" s="179">
        <f t="shared" si="12"/>
        <v>0</v>
      </c>
      <c r="AV12" s="179">
        <f t="shared" si="13"/>
        <v>0</v>
      </c>
      <c r="AW12" s="179">
        <f t="shared" si="28"/>
        <v>0</v>
      </c>
      <c r="AX12" s="179"/>
      <c r="AY12" s="179"/>
      <c r="AZ12" s="179">
        <f t="shared" si="14"/>
        <v>0</v>
      </c>
      <c r="BA12" s="179">
        <f t="shared" si="29"/>
        <v>0</v>
      </c>
      <c r="BB12" s="179">
        <f>'[1]Regulated Totals'!$B$11</f>
        <v>0.20400000000000001</v>
      </c>
      <c r="BC12" s="179">
        <f t="shared" si="15"/>
        <v>736.44</v>
      </c>
      <c r="BD12" s="179">
        <f t="shared" si="16"/>
        <v>8.3640000000000016E-3</v>
      </c>
      <c r="BE12" s="179">
        <f t="shared" si="17"/>
        <v>3.9059999999999993</v>
      </c>
      <c r="BF12" s="179">
        <f t="shared" si="18"/>
        <v>14100.659999999998</v>
      </c>
      <c r="BG12" s="179">
        <f t="shared" si="19"/>
        <v>0.16014599999999998</v>
      </c>
    </row>
    <row r="13" spans="1:59" ht="28.5" hidden="1" x14ac:dyDescent="0.45">
      <c r="A13" s="179">
        <f t="shared" si="3"/>
        <v>0</v>
      </c>
      <c r="B13" s="179">
        <f t="shared" si="4"/>
        <v>0</v>
      </c>
      <c r="C13" s="184">
        <f t="shared" si="20"/>
        <v>0</v>
      </c>
      <c r="D13" s="69" t="s">
        <v>250</v>
      </c>
      <c r="E13" s="70">
        <v>20</v>
      </c>
      <c r="F13" s="156">
        <v>101956</v>
      </c>
      <c r="G13" s="70" t="s">
        <v>246</v>
      </c>
      <c r="H13" s="95">
        <v>0.9</v>
      </c>
      <c r="I13" s="95">
        <f t="shared" si="30"/>
        <v>4.0999999999999995E-2</v>
      </c>
      <c r="J13" s="70">
        <v>89577</v>
      </c>
      <c r="K13" s="70">
        <v>132598</v>
      </c>
      <c r="L13" s="167">
        <f t="shared" si="0"/>
        <v>0.32444682423565968</v>
      </c>
      <c r="M13" s="156">
        <v>3610</v>
      </c>
      <c r="N13" s="70" t="s">
        <v>241</v>
      </c>
      <c r="O13" s="70">
        <v>4.1000000000000002E-2</v>
      </c>
      <c r="P13" s="70">
        <v>5.3999999999999999E-2</v>
      </c>
      <c r="Q13" s="95"/>
      <c r="R13" s="164"/>
      <c r="S13" s="95"/>
      <c r="T13" s="156" t="e">
        <f t="shared" si="1"/>
        <v>#DIV/0!</v>
      </c>
      <c r="U13" s="156" t="e">
        <f>F13/(R13/100)</f>
        <v>#DIV/0!</v>
      </c>
      <c r="V13" s="156" t="e">
        <f t="shared" si="2"/>
        <v>#DIV/0!</v>
      </c>
      <c r="W13" s="168" t="e">
        <f>H13/(R13/100)</f>
        <v>#DIV/0!</v>
      </c>
      <c r="X13" s="156" t="e">
        <f>M13/(R13/100)</f>
        <v>#DIV/0!</v>
      </c>
      <c r="Y13" s="168" t="e">
        <f>O13/(R13/100)</f>
        <v>#DIV/0!</v>
      </c>
      <c r="AA13" s="179"/>
      <c r="AB13" s="179">
        <f t="shared" si="21"/>
        <v>0</v>
      </c>
      <c r="AC13" s="179">
        <f t="shared" si="22"/>
        <v>0</v>
      </c>
      <c r="AD13" s="179"/>
      <c r="AE13" s="179">
        <f t="shared" si="5"/>
        <v>0</v>
      </c>
      <c r="AF13" s="179">
        <f t="shared" si="23"/>
        <v>0</v>
      </c>
      <c r="AG13" s="179">
        <f t="shared" si="24"/>
        <v>0</v>
      </c>
      <c r="AH13" s="179"/>
      <c r="AI13" s="179">
        <f t="shared" si="6"/>
        <v>0</v>
      </c>
      <c r="AJ13" s="179">
        <f t="shared" si="7"/>
        <v>0</v>
      </c>
      <c r="AK13" s="179">
        <f t="shared" si="25"/>
        <v>0</v>
      </c>
      <c r="AL13" s="179"/>
      <c r="AM13" s="179">
        <f t="shared" si="8"/>
        <v>0</v>
      </c>
      <c r="AN13" s="179">
        <f t="shared" si="9"/>
        <v>0</v>
      </c>
      <c r="AO13" s="179">
        <f t="shared" si="26"/>
        <v>0</v>
      </c>
      <c r="AP13" s="179"/>
      <c r="AQ13" s="179">
        <f t="shared" si="10"/>
        <v>0</v>
      </c>
      <c r="AR13" s="179">
        <f t="shared" si="11"/>
        <v>0</v>
      </c>
      <c r="AS13" s="179">
        <f t="shared" si="27"/>
        <v>0</v>
      </c>
      <c r="AT13" s="179"/>
      <c r="AU13" s="179">
        <f t="shared" si="12"/>
        <v>0</v>
      </c>
      <c r="AV13" s="179">
        <f t="shared" si="13"/>
        <v>0</v>
      </c>
      <c r="AW13" s="179">
        <f t="shared" si="28"/>
        <v>0</v>
      </c>
      <c r="AX13" s="179"/>
      <c r="AY13" s="179"/>
      <c r="AZ13" s="179">
        <f t="shared" si="14"/>
        <v>0</v>
      </c>
      <c r="BA13" s="179">
        <f t="shared" si="29"/>
        <v>0</v>
      </c>
      <c r="BB13" s="179"/>
      <c r="BC13" s="179">
        <f t="shared" si="15"/>
        <v>0</v>
      </c>
      <c r="BD13" s="179">
        <f t="shared" si="16"/>
        <v>0</v>
      </c>
      <c r="BE13" s="179">
        <f t="shared" si="17"/>
        <v>0</v>
      </c>
      <c r="BF13" s="179">
        <f t="shared" si="18"/>
        <v>0</v>
      </c>
      <c r="BG13" s="179">
        <f t="shared" si="19"/>
        <v>0</v>
      </c>
    </row>
    <row r="14" spans="1:59" x14ac:dyDescent="0.45">
      <c r="A14" s="179">
        <f t="shared" si="3"/>
        <v>4</v>
      </c>
      <c r="B14" s="179">
        <f t="shared" si="4"/>
        <v>7</v>
      </c>
      <c r="C14" s="184">
        <f t="shared" si="20"/>
        <v>3</v>
      </c>
      <c r="D14" s="69" t="s">
        <v>256</v>
      </c>
      <c r="E14" s="70">
        <v>20</v>
      </c>
      <c r="F14" s="156">
        <v>6049</v>
      </c>
      <c r="G14" s="70" t="s">
        <v>230</v>
      </c>
      <c r="H14" s="95"/>
      <c r="I14" s="95">
        <f t="shared" si="30"/>
        <v>4.0999999999999995E-2</v>
      </c>
      <c r="J14" s="95"/>
      <c r="K14" s="95"/>
      <c r="L14" s="167" t="e">
        <f t="shared" si="0"/>
        <v>#DIV/0!</v>
      </c>
      <c r="M14" s="156">
        <v>430.69</v>
      </c>
      <c r="N14" s="70" t="s">
        <v>231</v>
      </c>
      <c r="O14" s="164">
        <f>0.3/100</f>
        <v>3.0000000000000001E-3</v>
      </c>
      <c r="P14" s="95">
        <f>0.4/100</f>
        <v>4.0000000000000001E-3</v>
      </c>
      <c r="Q14" s="95"/>
      <c r="R14" s="164"/>
      <c r="S14" s="95"/>
      <c r="T14" s="156" t="e">
        <f t="shared" si="1"/>
        <v>#DIV/0!</v>
      </c>
      <c r="U14" s="156" t="s">
        <v>348</v>
      </c>
      <c r="V14" s="156" t="e">
        <f t="shared" si="2"/>
        <v>#DIV/0!</v>
      </c>
      <c r="W14" s="168" t="s">
        <v>348</v>
      </c>
      <c r="X14" s="156" t="s">
        <v>348</v>
      </c>
      <c r="Y14" s="168" t="s">
        <v>348</v>
      </c>
      <c r="AA14" s="179">
        <f>'[1]Regional Totals'!$D$9</f>
        <v>1148.896</v>
      </c>
      <c r="AB14" s="179">
        <f t="shared" si="21"/>
        <v>494818.01824</v>
      </c>
      <c r="AC14" s="179">
        <f t="shared" si="22"/>
        <v>3.446688</v>
      </c>
      <c r="AD14" s="179">
        <f>[1]UrbanBmpsSubmitted!$D$138</f>
        <v>88.21</v>
      </c>
      <c r="AE14" s="179">
        <f t="shared" si="5"/>
        <v>37991.164899999996</v>
      </c>
      <c r="AF14" s="179">
        <f t="shared" si="23"/>
        <v>0.26462999999999998</v>
      </c>
      <c r="AG14" s="179">
        <f t="shared" si="24"/>
        <v>1</v>
      </c>
      <c r="AH14" s="179">
        <f>[1]UrbanBmpsSubmitted!$D$139+[1]UrbanBmpsSubmitted!$D$140</f>
        <v>341.798</v>
      </c>
      <c r="AI14" s="179">
        <f t="shared" si="6"/>
        <v>147208.98061999999</v>
      </c>
      <c r="AJ14" s="179">
        <f t="shared" si="7"/>
        <v>1.0253939999999999</v>
      </c>
      <c r="AK14" s="179">
        <f t="shared" si="25"/>
        <v>2</v>
      </c>
      <c r="AL14" s="179">
        <f>[1]UrbanBmpsSubmitted!$D$141</f>
        <v>157.821</v>
      </c>
      <c r="AM14" s="179">
        <f t="shared" si="8"/>
        <v>67971.926489999998</v>
      </c>
      <c r="AN14" s="179">
        <f t="shared" si="9"/>
        <v>0.47346300000000002</v>
      </c>
      <c r="AO14" s="179">
        <f t="shared" si="26"/>
        <v>1</v>
      </c>
      <c r="AP14" s="179">
        <f>[1]UrbanBmpsSubmitted!$D$142</f>
        <v>278.76900000000001</v>
      </c>
      <c r="AQ14" s="179">
        <f t="shared" si="10"/>
        <v>120063.02061000001</v>
      </c>
      <c r="AR14" s="179">
        <f t="shared" si="11"/>
        <v>0.83630700000000002</v>
      </c>
      <c r="AS14" s="179">
        <f t="shared" si="27"/>
        <v>1</v>
      </c>
      <c r="AT14" s="179">
        <f>[1]UrbanBmpsSubmitted!$D$143</f>
        <v>180.78899999999999</v>
      </c>
      <c r="AU14" s="179">
        <f t="shared" si="12"/>
        <v>77864.014409999989</v>
      </c>
      <c r="AV14" s="179">
        <f t="shared" si="13"/>
        <v>0.54236699999999993</v>
      </c>
      <c r="AW14" s="179">
        <f t="shared" si="28"/>
        <v>1</v>
      </c>
      <c r="AX14" s="179">
        <f>[1]UrbanBmpsSubmitted!$D$144+[1]UrbanBmpsSubmitted!$D$145</f>
        <v>101.509</v>
      </c>
      <c r="AY14" s="179"/>
      <c r="AZ14" s="179">
        <f t="shared" si="14"/>
        <v>0.30452699999999999</v>
      </c>
      <c r="BA14" s="179">
        <f t="shared" si="29"/>
        <v>1</v>
      </c>
      <c r="BB14" s="179">
        <f>'[1]Regulated Totals'!$B$12</f>
        <v>205.06200000000001</v>
      </c>
      <c r="BC14" s="179">
        <f t="shared" si="15"/>
        <v>88318.152780000004</v>
      </c>
      <c r="BD14" s="179">
        <f t="shared" si="16"/>
        <v>0.61518600000000001</v>
      </c>
      <c r="BE14" s="179">
        <f t="shared" si="17"/>
        <v>943.83399999999995</v>
      </c>
      <c r="BF14" s="179">
        <f t="shared" si="18"/>
        <v>406499.86546</v>
      </c>
      <c r="BG14" s="179">
        <f t="shared" si="19"/>
        <v>2.831502</v>
      </c>
    </row>
    <row r="15" spans="1:59" ht="28.5" x14ac:dyDescent="0.45">
      <c r="A15" s="179">
        <f t="shared" si="3"/>
        <v>39</v>
      </c>
      <c r="B15" s="179">
        <f t="shared" si="4"/>
        <v>42</v>
      </c>
      <c r="C15" s="184">
        <f t="shared" si="20"/>
        <v>3</v>
      </c>
      <c r="D15" s="69" t="s">
        <v>124</v>
      </c>
      <c r="E15" s="70">
        <v>25</v>
      </c>
      <c r="F15" s="156">
        <v>20021</v>
      </c>
      <c r="G15" s="70" t="s">
        <v>240</v>
      </c>
      <c r="H15" s="95">
        <f>9.7/100</f>
        <v>9.6999999999999989E-2</v>
      </c>
      <c r="I15" s="95">
        <f t="shared" si="30"/>
        <v>4.0999999999999995E-2</v>
      </c>
      <c r="J15" s="95"/>
      <c r="K15" s="95"/>
      <c r="L15" s="167" t="e">
        <f t="shared" si="0"/>
        <v>#DIV/0!</v>
      </c>
      <c r="M15" s="156">
        <v>773</v>
      </c>
      <c r="N15" s="70" t="s">
        <v>241</v>
      </c>
      <c r="O15" s="164">
        <f>0.9/100</f>
        <v>9.0000000000000011E-3</v>
      </c>
      <c r="P15" s="95">
        <f>1.1/100</f>
        <v>1.1000000000000001E-2</v>
      </c>
      <c r="Q15" s="95">
        <v>40</v>
      </c>
      <c r="R15" s="164">
        <v>60</v>
      </c>
      <c r="S15" s="95">
        <v>80</v>
      </c>
      <c r="T15" s="156">
        <f t="shared" si="1"/>
        <v>50052.5</v>
      </c>
      <c r="U15" s="156">
        <f>F15/(R15/100)</f>
        <v>33368.333333333336</v>
      </c>
      <c r="V15" s="156">
        <f t="shared" si="2"/>
        <v>25026.25</v>
      </c>
      <c r="W15" s="168">
        <f>H15/(R15/100)</f>
        <v>0.16166666666666665</v>
      </c>
      <c r="X15" s="156">
        <f>M15/(R15/100)</f>
        <v>1288.3333333333335</v>
      </c>
      <c r="Y15" s="168">
        <f>O15/(R15/100)</f>
        <v>1.5000000000000003E-2</v>
      </c>
      <c r="AA15" s="179">
        <f>'[1]Regional Totals'!$D$10</f>
        <v>4226.8500000000004</v>
      </c>
      <c r="AB15" s="179">
        <f t="shared" si="21"/>
        <v>3267355.0500000003</v>
      </c>
      <c r="AC15" s="179">
        <f t="shared" si="22"/>
        <v>38.041650000000004</v>
      </c>
      <c r="AD15" s="179">
        <f>'Regional Staffing Costs'!AB14</f>
        <v>350.05799999999999</v>
      </c>
      <c r="AE15" s="179">
        <f t="shared" si="5"/>
        <v>270594.83399999997</v>
      </c>
      <c r="AF15" s="179">
        <f t="shared" si="23"/>
        <v>3.1505220000000005</v>
      </c>
      <c r="AG15" s="179">
        <f t="shared" si="24"/>
        <v>4</v>
      </c>
      <c r="AH15" s="179">
        <f>'Regional Staffing Costs'!AE14</f>
        <v>1229.55</v>
      </c>
      <c r="AI15" s="179">
        <f t="shared" si="6"/>
        <v>950442.14999999991</v>
      </c>
      <c r="AJ15" s="179">
        <f t="shared" si="7"/>
        <v>11.065950000000001</v>
      </c>
      <c r="AK15" s="179">
        <f t="shared" si="25"/>
        <v>12</v>
      </c>
      <c r="AL15" s="179">
        <f>'Regional Staffing Costs'!AH14</f>
        <v>693.07299999999998</v>
      </c>
      <c r="AM15" s="179">
        <f t="shared" si="8"/>
        <v>535745.429</v>
      </c>
      <c r="AN15" s="179">
        <f t="shared" si="9"/>
        <v>6.2376570000000005</v>
      </c>
      <c r="AO15" s="179">
        <f t="shared" si="26"/>
        <v>7</v>
      </c>
      <c r="AP15" s="179">
        <f>'Regional Staffing Costs'!AK14</f>
        <v>1086.4269999999999</v>
      </c>
      <c r="AQ15" s="179">
        <f t="shared" si="10"/>
        <v>839808.07099999988</v>
      </c>
      <c r="AR15" s="179">
        <f t="shared" si="11"/>
        <v>9.7778430000000007</v>
      </c>
      <c r="AS15" s="179">
        <f t="shared" si="27"/>
        <v>10</v>
      </c>
      <c r="AT15" s="179">
        <f>'Regional Staffing Costs'!AN14</f>
        <v>667.625</v>
      </c>
      <c r="AU15" s="179">
        <f t="shared" si="12"/>
        <v>516074.125</v>
      </c>
      <c r="AV15" s="179">
        <f t="shared" si="13"/>
        <v>6.0086250000000003</v>
      </c>
      <c r="AW15" s="179">
        <f t="shared" si="28"/>
        <v>7</v>
      </c>
      <c r="AX15" s="179">
        <f>'Regional Staffing Costs'!AQ14</f>
        <v>200.10899999999998</v>
      </c>
      <c r="AY15" s="179"/>
      <c r="AZ15" s="179">
        <f t="shared" si="14"/>
        <v>1.8009809999999999</v>
      </c>
      <c r="BA15" s="179">
        <f t="shared" si="29"/>
        <v>2</v>
      </c>
      <c r="BB15" s="179">
        <f>'[1]Regulated Totals'!$B$13</f>
        <v>540.66499999999996</v>
      </c>
      <c r="BC15" s="179">
        <f t="shared" si="15"/>
        <v>417934.04499999998</v>
      </c>
      <c r="BD15" s="179">
        <f t="shared" si="16"/>
        <v>4.8659850000000002</v>
      </c>
      <c r="BE15" s="179">
        <f t="shared" si="17"/>
        <v>3686.1850000000004</v>
      </c>
      <c r="BF15" s="179">
        <f t="shared" si="18"/>
        <v>2849421.0050000004</v>
      </c>
      <c r="BG15" s="179">
        <f t="shared" si="19"/>
        <v>33.175665000000009</v>
      </c>
    </row>
    <row r="16" spans="1:59" x14ac:dyDescent="0.45">
      <c r="A16" s="179">
        <f t="shared" si="3"/>
        <v>1</v>
      </c>
      <c r="B16" s="179">
        <f t="shared" si="4"/>
        <v>6</v>
      </c>
      <c r="C16" s="184">
        <f t="shared" si="20"/>
        <v>5</v>
      </c>
      <c r="D16" s="69" t="s">
        <v>126</v>
      </c>
      <c r="E16" s="70">
        <v>75</v>
      </c>
      <c r="F16" s="156">
        <v>683.38</v>
      </c>
      <c r="G16" s="70" t="s">
        <v>230</v>
      </c>
      <c r="H16" s="95">
        <f>0.9/100</f>
        <v>9.0000000000000011E-3</v>
      </c>
      <c r="I16" s="95">
        <f t="shared" si="30"/>
        <v>4.0999999999999995E-2</v>
      </c>
      <c r="J16" s="95"/>
      <c r="K16" s="95"/>
      <c r="L16" s="167" t="e">
        <f t="shared" si="0"/>
        <v>#DIV/0!</v>
      </c>
      <c r="M16" s="156">
        <v>0</v>
      </c>
      <c r="N16" s="70" t="s">
        <v>231</v>
      </c>
      <c r="O16" s="193">
        <f>O22</f>
        <v>5.0000000000000001E-4</v>
      </c>
      <c r="P16" s="95"/>
      <c r="Q16" s="95">
        <v>25</v>
      </c>
      <c r="R16" s="164">
        <v>50</v>
      </c>
      <c r="S16" s="95">
        <v>50</v>
      </c>
      <c r="T16" s="156">
        <f t="shared" si="1"/>
        <v>2733.52</v>
      </c>
      <c r="U16" s="156">
        <f>F16/(R16/100)</f>
        <v>1366.76</v>
      </c>
      <c r="V16" s="156">
        <f t="shared" si="2"/>
        <v>1366.76</v>
      </c>
      <c r="W16" s="168">
        <f>H16/(R16/100)</f>
        <v>1.8000000000000002E-2</v>
      </c>
      <c r="X16" s="156">
        <f>M16/(R16/100)</f>
        <v>0</v>
      </c>
      <c r="Y16" s="168">
        <f>O16/(R16/100)</f>
        <v>1E-3</v>
      </c>
      <c r="AA16" s="179">
        <f>'[1]Regional Totals'!$D$11</f>
        <v>340.43899999999996</v>
      </c>
      <c r="AB16" s="179">
        <f t="shared" si="21"/>
        <v>0</v>
      </c>
      <c r="AC16" s="179">
        <f t="shared" si="22"/>
        <v>0.1702195</v>
      </c>
      <c r="AD16" s="179">
        <f>'Regional Staffing Costs'!AB15</f>
        <v>30.195</v>
      </c>
      <c r="AE16" s="179">
        <f t="shared" si="5"/>
        <v>0</v>
      </c>
      <c r="AF16" s="179">
        <f t="shared" si="23"/>
        <v>1.50975E-2</v>
      </c>
      <c r="AG16" s="179">
        <f t="shared" si="24"/>
        <v>1</v>
      </c>
      <c r="AH16" s="179">
        <f>'Regional Staffing Costs'!AE15</f>
        <v>91.34</v>
      </c>
      <c r="AI16" s="179">
        <f t="shared" si="6"/>
        <v>0</v>
      </c>
      <c r="AJ16" s="179">
        <f t="shared" si="7"/>
        <v>4.5670000000000002E-2</v>
      </c>
      <c r="AK16" s="179">
        <f t="shared" si="25"/>
        <v>1</v>
      </c>
      <c r="AL16" s="179">
        <f>'Regional Staffing Costs'!AH15</f>
        <v>62.05</v>
      </c>
      <c r="AM16" s="179">
        <f t="shared" si="8"/>
        <v>0</v>
      </c>
      <c r="AN16" s="179">
        <f t="shared" si="9"/>
        <v>3.1025E-2</v>
      </c>
      <c r="AO16" s="179">
        <f t="shared" si="26"/>
        <v>1</v>
      </c>
      <c r="AP16" s="179">
        <f>'Regional Staffing Costs'!AK15</f>
        <v>93.036000000000001</v>
      </c>
      <c r="AQ16" s="179">
        <f t="shared" si="10"/>
        <v>0</v>
      </c>
      <c r="AR16" s="179">
        <f t="shared" si="11"/>
        <v>4.6518000000000004E-2</v>
      </c>
      <c r="AS16" s="179">
        <f t="shared" si="27"/>
        <v>1</v>
      </c>
      <c r="AT16" s="179">
        <f>'Regional Staffing Costs'!AN15</f>
        <v>55.893999999999998</v>
      </c>
      <c r="AU16" s="179">
        <f t="shared" si="12"/>
        <v>0</v>
      </c>
      <c r="AV16" s="179">
        <f t="shared" si="13"/>
        <v>2.7947E-2</v>
      </c>
      <c r="AW16" s="179">
        <f t="shared" si="28"/>
        <v>1</v>
      </c>
      <c r="AX16" s="179">
        <f>'Regional Staffing Costs'!AQ15</f>
        <v>7.9240000000000004</v>
      </c>
      <c r="AY16" s="179"/>
      <c r="AZ16" s="179">
        <f t="shared" si="14"/>
        <v>3.9620000000000002E-3</v>
      </c>
      <c r="BA16" s="179">
        <f t="shared" si="29"/>
        <v>1</v>
      </c>
      <c r="BB16" s="179">
        <f>'[1]Regulated Totals'!$B$14</f>
        <v>24.502000000000002</v>
      </c>
      <c r="BC16" s="179">
        <f t="shared" si="15"/>
        <v>0</v>
      </c>
      <c r="BD16" s="179">
        <f t="shared" si="16"/>
        <v>1.2251000000000001E-2</v>
      </c>
      <c r="BE16" s="179">
        <f t="shared" si="17"/>
        <v>315.93699999999995</v>
      </c>
      <c r="BF16" s="179">
        <f t="shared" si="18"/>
        <v>0</v>
      </c>
      <c r="BG16" s="179">
        <f t="shared" si="19"/>
        <v>0.15796849999999998</v>
      </c>
    </row>
    <row r="17" spans="1:59" hidden="1" x14ac:dyDescent="0.45">
      <c r="A17" s="179">
        <f t="shared" si="3"/>
        <v>0</v>
      </c>
      <c r="B17" s="179">
        <f t="shared" si="4"/>
        <v>0</v>
      </c>
      <c r="C17" s="184">
        <f t="shared" si="20"/>
        <v>0</v>
      </c>
      <c r="D17" s="69" t="s">
        <v>238</v>
      </c>
      <c r="E17" s="70">
        <v>10</v>
      </c>
      <c r="F17" s="156">
        <v>346.67</v>
      </c>
      <c r="G17" s="70" t="s">
        <v>230</v>
      </c>
      <c r="H17" s="95">
        <f>0.4/100</f>
        <v>4.0000000000000001E-3</v>
      </c>
      <c r="I17" s="95">
        <f t="shared" si="30"/>
        <v>4.0999999999999995E-2</v>
      </c>
      <c r="J17" s="95"/>
      <c r="K17" s="95"/>
      <c r="L17" s="167" t="e">
        <f t="shared" si="0"/>
        <v>#DIV/0!</v>
      </c>
      <c r="M17" s="156">
        <v>0</v>
      </c>
      <c r="N17" s="70" t="s">
        <v>231</v>
      </c>
      <c r="O17" s="193"/>
      <c r="P17" s="95"/>
      <c r="Q17" s="95">
        <v>25</v>
      </c>
      <c r="R17" s="164">
        <v>50</v>
      </c>
      <c r="S17" s="95">
        <v>50</v>
      </c>
      <c r="T17" s="156">
        <f t="shared" si="1"/>
        <v>1386.68</v>
      </c>
      <c r="U17" s="156">
        <f>F17/(R17/100)</f>
        <v>693.34</v>
      </c>
      <c r="V17" s="156">
        <f t="shared" si="2"/>
        <v>693.34</v>
      </c>
      <c r="W17" s="168">
        <f>H17/(R17/100)</f>
        <v>8.0000000000000002E-3</v>
      </c>
      <c r="X17" s="156">
        <f>M17/(R17/100)</f>
        <v>0</v>
      </c>
      <c r="Y17" s="168">
        <f>O17/(R17/100)</f>
        <v>0</v>
      </c>
      <c r="AA17" s="179">
        <v>0</v>
      </c>
      <c r="AB17" s="179">
        <f t="shared" si="21"/>
        <v>0</v>
      </c>
      <c r="AC17" s="179">
        <f t="shared" si="22"/>
        <v>0</v>
      </c>
      <c r="AD17" s="179"/>
      <c r="AE17" s="179">
        <f t="shared" si="5"/>
        <v>0</v>
      </c>
      <c r="AF17" s="179">
        <f t="shared" si="23"/>
        <v>0</v>
      </c>
      <c r="AG17" s="179">
        <f t="shared" si="24"/>
        <v>0</v>
      </c>
      <c r="AH17" s="179"/>
      <c r="AI17" s="179">
        <f t="shared" si="6"/>
        <v>0</v>
      </c>
      <c r="AJ17" s="179">
        <f t="shared" si="7"/>
        <v>0</v>
      </c>
      <c r="AK17" s="179">
        <f t="shared" si="25"/>
        <v>0</v>
      </c>
      <c r="AL17" s="179"/>
      <c r="AM17" s="179">
        <f t="shared" si="8"/>
        <v>0</v>
      </c>
      <c r="AN17" s="179">
        <f t="shared" si="9"/>
        <v>0</v>
      </c>
      <c r="AO17" s="179">
        <f t="shared" si="26"/>
        <v>0</v>
      </c>
      <c r="AP17" s="179"/>
      <c r="AQ17" s="179">
        <f t="shared" si="10"/>
        <v>0</v>
      </c>
      <c r="AR17" s="179">
        <f t="shared" si="11"/>
        <v>0</v>
      </c>
      <c r="AS17" s="179">
        <f t="shared" si="27"/>
        <v>0</v>
      </c>
      <c r="AT17" s="179"/>
      <c r="AU17" s="179">
        <f t="shared" si="12"/>
        <v>0</v>
      </c>
      <c r="AV17" s="179">
        <f t="shared" si="13"/>
        <v>0</v>
      </c>
      <c r="AW17" s="179">
        <f t="shared" si="28"/>
        <v>0</v>
      </c>
      <c r="AX17" s="179"/>
      <c r="AY17" s="179"/>
      <c r="AZ17" s="179">
        <f t="shared" si="14"/>
        <v>0</v>
      </c>
      <c r="BA17" s="179">
        <f t="shared" si="29"/>
        <v>0</v>
      </c>
      <c r="BB17" s="179">
        <v>0</v>
      </c>
      <c r="BC17" s="179">
        <f t="shared" si="15"/>
        <v>0</v>
      </c>
      <c r="BD17" s="179">
        <f t="shared" si="16"/>
        <v>0</v>
      </c>
      <c r="BE17" s="179">
        <f t="shared" si="17"/>
        <v>0</v>
      </c>
      <c r="BF17" s="179">
        <f t="shared" si="18"/>
        <v>0</v>
      </c>
      <c r="BG17" s="179">
        <f t="shared" si="19"/>
        <v>0</v>
      </c>
    </row>
    <row r="18" spans="1:59" ht="28.5" x14ac:dyDescent="0.45">
      <c r="A18" s="179">
        <f t="shared" si="3"/>
        <v>19</v>
      </c>
      <c r="B18" s="179">
        <f t="shared" si="4"/>
        <v>21</v>
      </c>
      <c r="C18" s="184">
        <f t="shared" si="20"/>
        <v>2</v>
      </c>
      <c r="D18" s="69" t="s">
        <v>242</v>
      </c>
      <c r="E18" s="70">
        <v>50</v>
      </c>
      <c r="F18" s="156">
        <v>16415</v>
      </c>
      <c r="G18" s="70" t="s">
        <v>240</v>
      </c>
      <c r="H18" s="95">
        <f>9.7/100</f>
        <v>9.6999999999999989E-2</v>
      </c>
      <c r="I18" s="95">
        <f t="shared" si="30"/>
        <v>4.0999999999999995E-2</v>
      </c>
      <c r="J18" s="95"/>
      <c r="K18" s="95"/>
      <c r="L18" s="167" t="e">
        <f t="shared" si="0"/>
        <v>#DIV/0!</v>
      </c>
      <c r="M18" s="156">
        <v>345</v>
      </c>
      <c r="N18" s="70" t="s">
        <v>241</v>
      </c>
      <c r="O18" s="193">
        <f>0.4/100</f>
        <v>4.0000000000000001E-3</v>
      </c>
      <c r="P18" s="95">
        <f>0.5/100</f>
        <v>5.0000000000000001E-3</v>
      </c>
      <c r="Q18" s="95">
        <v>45</v>
      </c>
      <c r="R18" s="164">
        <v>50</v>
      </c>
      <c r="S18" s="95">
        <v>70</v>
      </c>
      <c r="T18" s="156">
        <f t="shared" si="1"/>
        <v>36477.777777777774</v>
      </c>
      <c r="U18" s="156">
        <f>F18/(R18/100)</f>
        <v>32830</v>
      </c>
      <c r="V18" s="156">
        <f t="shared" si="2"/>
        <v>23450</v>
      </c>
      <c r="W18" s="168">
        <f>H18/(R18/100)</f>
        <v>0.19399999999999998</v>
      </c>
      <c r="X18" s="156">
        <f>M18/(R18/100)</f>
        <v>690</v>
      </c>
      <c r="Y18" s="168">
        <f>O18/(R18/100)</f>
        <v>8.0000000000000002E-3</v>
      </c>
      <c r="AA18" s="179">
        <f>'[1]Regional Totals'!$D$13</f>
        <v>4604.0509999999995</v>
      </c>
      <c r="AB18" s="179">
        <f>AA18*M18</f>
        <v>1588397.5949999997</v>
      </c>
      <c r="AC18" s="179">
        <f>AA18*O18</f>
        <v>18.416203999999997</v>
      </c>
      <c r="AD18" s="179">
        <f>'Regional Staffing Costs'!AB18</f>
        <v>386.32499999999999</v>
      </c>
      <c r="AE18" s="179">
        <f t="shared" si="5"/>
        <v>133282.125</v>
      </c>
      <c r="AF18" s="179">
        <f t="shared" si="23"/>
        <v>1.5452999999999999</v>
      </c>
      <c r="AG18" s="179">
        <f t="shared" si="24"/>
        <v>2</v>
      </c>
      <c r="AH18" s="179">
        <f>'Regional Staffing Costs'!AE18</f>
        <v>1317.78</v>
      </c>
      <c r="AI18" s="179">
        <f t="shared" si="6"/>
        <v>454634.1</v>
      </c>
      <c r="AJ18" s="179">
        <f t="shared" si="7"/>
        <v>5.2711199999999998</v>
      </c>
      <c r="AK18" s="179">
        <f t="shared" si="25"/>
        <v>6</v>
      </c>
      <c r="AL18" s="179">
        <f>'Regional Staffing Costs'!AH18</f>
        <v>764.39600000000007</v>
      </c>
      <c r="AM18" s="179">
        <f t="shared" si="8"/>
        <v>263716.62000000005</v>
      </c>
      <c r="AN18" s="179">
        <f t="shared" si="9"/>
        <v>3.0575840000000003</v>
      </c>
      <c r="AO18" s="179">
        <f t="shared" si="26"/>
        <v>4</v>
      </c>
      <c r="AP18" s="179">
        <f>'Regional Staffing Costs'!AK18</f>
        <v>1199.107</v>
      </c>
      <c r="AQ18" s="179">
        <f t="shared" si="10"/>
        <v>413691.91499999998</v>
      </c>
      <c r="AR18" s="179">
        <f t="shared" si="11"/>
        <v>4.7964279999999997</v>
      </c>
      <c r="AS18" s="179">
        <f t="shared" si="27"/>
        <v>5</v>
      </c>
      <c r="AT18" s="179">
        <f>'Regional Staffing Costs'!AN18</f>
        <v>737.13800000000003</v>
      </c>
      <c r="AU18" s="179">
        <f t="shared" si="12"/>
        <v>254312.61000000002</v>
      </c>
      <c r="AV18" s="179">
        <f t="shared" si="13"/>
        <v>2.9485520000000003</v>
      </c>
      <c r="AW18" s="179">
        <f t="shared" si="28"/>
        <v>3</v>
      </c>
      <c r="AX18" s="179">
        <f>'Regional Staffing Costs'!AQ18</f>
        <v>199.30500000000001</v>
      </c>
      <c r="AY18" s="179"/>
      <c r="AZ18" s="179">
        <f t="shared" si="14"/>
        <v>0.79722000000000004</v>
      </c>
      <c r="BA18" s="179">
        <f t="shared" si="29"/>
        <v>1</v>
      </c>
      <c r="BB18" s="179">
        <f>'[1]Regulated Totals'!$B$16</f>
        <v>535.60300000000007</v>
      </c>
      <c r="BC18" s="179">
        <f t="shared" si="15"/>
        <v>184783.03500000003</v>
      </c>
      <c r="BD18" s="179">
        <f t="shared" si="16"/>
        <v>2.1424120000000002</v>
      </c>
      <c r="BE18" s="179">
        <f>AA18-BB18</f>
        <v>4068.4479999999994</v>
      </c>
      <c r="BF18" s="179">
        <f t="shared" si="18"/>
        <v>1403614.5599999998</v>
      </c>
      <c r="BG18" s="179">
        <f t="shared" si="19"/>
        <v>16.273791999999997</v>
      </c>
    </row>
    <row r="19" spans="1:59" ht="28.5" hidden="1" x14ac:dyDescent="0.45">
      <c r="A19" s="179">
        <f t="shared" si="3"/>
        <v>0</v>
      </c>
      <c r="B19" s="179">
        <f t="shared" si="4"/>
        <v>0</v>
      </c>
      <c r="C19" s="184">
        <f t="shared" si="20"/>
        <v>0</v>
      </c>
      <c r="E19" s="70">
        <v>50</v>
      </c>
      <c r="F19" s="156">
        <v>16415</v>
      </c>
      <c r="G19" s="70" t="s">
        <v>240</v>
      </c>
      <c r="H19" s="95">
        <f>9.7/100</f>
        <v>9.6999999999999989E-2</v>
      </c>
      <c r="I19" s="95">
        <f t="shared" si="30"/>
        <v>4.0999999999999995E-2</v>
      </c>
      <c r="J19" s="95"/>
      <c r="K19" s="95"/>
      <c r="L19" s="167" t="e">
        <f t="shared" si="0"/>
        <v>#DIV/0!</v>
      </c>
      <c r="M19" s="156">
        <v>345</v>
      </c>
      <c r="N19" s="70" t="s">
        <v>241</v>
      </c>
      <c r="O19" s="193">
        <f>0.4/100</f>
        <v>4.0000000000000001E-3</v>
      </c>
      <c r="P19" s="95">
        <f>0.5/100</f>
        <v>5.0000000000000001E-3</v>
      </c>
      <c r="Q19" s="95"/>
      <c r="R19" s="164"/>
      <c r="S19" s="95"/>
      <c r="T19" s="156" t="e">
        <f t="shared" si="1"/>
        <v>#DIV/0!</v>
      </c>
      <c r="U19" s="156" t="e">
        <f>F19/(R19/100)</f>
        <v>#DIV/0!</v>
      </c>
      <c r="V19" s="156" t="e">
        <f t="shared" si="2"/>
        <v>#DIV/0!</v>
      </c>
      <c r="W19" s="168" t="e">
        <f>H19/(R19/100)</f>
        <v>#DIV/0!</v>
      </c>
      <c r="X19" s="156" t="e">
        <f>M19/(R19/100)</f>
        <v>#DIV/0!</v>
      </c>
      <c r="Y19" s="168" t="e">
        <f>O19/(R19/100)</f>
        <v>#DIV/0!</v>
      </c>
      <c r="AA19" s="179"/>
      <c r="AB19" s="179">
        <f>AA19*M19</f>
        <v>0</v>
      </c>
      <c r="AC19" s="179">
        <f>AA19*O19</f>
        <v>0</v>
      </c>
      <c r="AD19" s="179"/>
      <c r="AE19" s="179">
        <f t="shared" si="5"/>
        <v>0</v>
      </c>
      <c r="AF19" s="179">
        <f t="shared" si="23"/>
        <v>0</v>
      </c>
      <c r="AG19" s="179">
        <f t="shared" si="24"/>
        <v>0</v>
      </c>
      <c r="AH19" s="179"/>
      <c r="AI19" s="179">
        <f t="shared" si="6"/>
        <v>0</v>
      </c>
      <c r="AJ19" s="179">
        <f t="shared" si="7"/>
        <v>0</v>
      </c>
      <c r="AK19" s="179">
        <f t="shared" si="25"/>
        <v>0</v>
      </c>
      <c r="AL19" s="179"/>
      <c r="AM19" s="179">
        <f t="shared" si="8"/>
        <v>0</v>
      </c>
      <c r="AN19" s="179">
        <f t="shared" si="9"/>
        <v>0</v>
      </c>
      <c r="AO19" s="179">
        <f t="shared" si="26"/>
        <v>0</v>
      </c>
      <c r="AP19" s="179"/>
      <c r="AQ19" s="179">
        <f t="shared" si="10"/>
        <v>0</v>
      </c>
      <c r="AR19" s="179">
        <f t="shared" si="11"/>
        <v>0</v>
      </c>
      <c r="AS19" s="179">
        <f t="shared" si="27"/>
        <v>0</v>
      </c>
      <c r="AT19" s="179"/>
      <c r="AU19" s="179">
        <f t="shared" si="12"/>
        <v>0</v>
      </c>
      <c r="AV19" s="179">
        <f t="shared" si="13"/>
        <v>0</v>
      </c>
      <c r="AW19" s="179">
        <f t="shared" si="28"/>
        <v>0</v>
      </c>
      <c r="AX19" s="179"/>
      <c r="AY19" s="179"/>
      <c r="AZ19" s="179">
        <f t="shared" si="14"/>
        <v>0</v>
      </c>
      <c r="BA19" s="179">
        <f t="shared" si="29"/>
        <v>0</v>
      </c>
      <c r="BB19" s="179"/>
      <c r="BC19" s="179">
        <f t="shared" si="15"/>
        <v>0</v>
      </c>
      <c r="BD19" s="179">
        <f t="shared" si="16"/>
        <v>0</v>
      </c>
      <c r="BE19" s="179">
        <f>AA19-BB19</f>
        <v>0</v>
      </c>
      <c r="BF19" s="179">
        <f t="shared" si="18"/>
        <v>0</v>
      </c>
      <c r="BG19" s="179">
        <f t="shared" si="19"/>
        <v>0</v>
      </c>
    </row>
    <row r="20" spans="1:59" hidden="1" x14ac:dyDescent="0.45">
      <c r="A20" s="179">
        <f t="shared" si="3"/>
        <v>0</v>
      </c>
      <c r="B20" s="179">
        <f t="shared" si="4"/>
        <v>0</v>
      </c>
      <c r="C20" s="184">
        <f t="shared" si="20"/>
        <v>0</v>
      </c>
      <c r="D20" s="69" t="s">
        <v>129</v>
      </c>
      <c r="E20" s="70">
        <v>3</v>
      </c>
      <c r="F20" s="156">
        <v>52.5</v>
      </c>
      <c r="G20" s="70" t="s">
        <v>230</v>
      </c>
      <c r="H20" s="95">
        <f>0.1/100</f>
        <v>1E-3</v>
      </c>
      <c r="I20" s="95">
        <f t="shared" si="30"/>
        <v>4.0999999999999995E-2</v>
      </c>
      <c r="J20" s="95"/>
      <c r="K20" s="95"/>
      <c r="L20" s="167" t="e">
        <f t="shared" si="0"/>
        <v>#DIV/0!</v>
      </c>
      <c r="M20" s="156" t="s">
        <v>354</v>
      </c>
      <c r="N20" s="70" t="s">
        <v>231</v>
      </c>
      <c r="O20" s="193"/>
      <c r="P20" s="95"/>
      <c r="Q20" s="95"/>
      <c r="R20" s="164"/>
      <c r="S20" s="95"/>
      <c r="T20" s="156" t="e">
        <f t="shared" si="1"/>
        <v>#DIV/0!</v>
      </c>
      <c r="U20" s="156" t="s">
        <v>348</v>
      </c>
      <c r="V20" s="156" t="e">
        <f t="shared" si="2"/>
        <v>#DIV/0!</v>
      </c>
      <c r="W20" s="168" t="s">
        <v>348</v>
      </c>
      <c r="X20" s="156" t="s">
        <v>348</v>
      </c>
      <c r="Y20" s="168" t="s">
        <v>348</v>
      </c>
      <c r="AA20" s="179">
        <f>'[1]Regional Totals'!$D$14</f>
        <v>36286.539000000004</v>
      </c>
      <c r="AB20" s="179"/>
      <c r="AC20" s="179">
        <f t="shared" si="22"/>
        <v>0</v>
      </c>
      <c r="AD20" s="179"/>
      <c r="AE20" s="179" t="e">
        <f t="shared" si="5"/>
        <v>#VALUE!</v>
      </c>
      <c r="AF20" s="179">
        <f t="shared" si="23"/>
        <v>0</v>
      </c>
      <c r="AG20" s="179">
        <f t="shared" si="24"/>
        <v>0</v>
      </c>
      <c r="AH20" s="179"/>
      <c r="AI20" s="179" t="e">
        <f t="shared" si="6"/>
        <v>#VALUE!</v>
      </c>
      <c r="AJ20" s="179">
        <f t="shared" si="7"/>
        <v>0</v>
      </c>
      <c r="AK20" s="179">
        <f t="shared" si="25"/>
        <v>0</v>
      </c>
      <c r="AL20" s="179"/>
      <c r="AM20" s="179" t="e">
        <f t="shared" si="8"/>
        <v>#VALUE!</v>
      </c>
      <c r="AN20" s="179">
        <f t="shared" si="9"/>
        <v>0</v>
      </c>
      <c r="AO20" s="179">
        <f t="shared" si="26"/>
        <v>0</v>
      </c>
      <c r="AP20" s="179"/>
      <c r="AQ20" s="179" t="e">
        <f t="shared" si="10"/>
        <v>#VALUE!</v>
      </c>
      <c r="AR20" s="179">
        <f t="shared" si="11"/>
        <v>0</v>
      </c>
      <c r="AS20" s="179">
        <f t="shared" si="27"/>
        <v>0</v>
      </c>
      <c r="AT20" s="179"/>
      <c r="AU20" s="179" t="e">
        <f t="shared" si="12"/>
        <v>#VALUE!</v>
      </c>
      <c r="AV20" s="179">
        <f t="shared" si="13"/>
        <v>0</v>
      </c>
      <c r="AW20" s="179">
        <f t="shared" si="28"/>
        <v>0</v>
      </c>
      <c r="AX20" s="179"/>
      <c r="AY20" s="179"/>
      <c r="AZ20" s="179">
        <f t="shared" si="14"/>
        <v>0</v>
      </c>
      <c r="BA20" s="179">
        <f t="shared" si="29"/>
        <v>0</v>
      </c>
      <c r="BB20" s="179">
        <f>'[1]Regulated Totals'!$B$17</f>
        <v>4267.7820000000002</v>
      </c>
      <c r="BC20" s="179" t="e">
        <f t="shared" si="15"/>
        <v>#VALUE!</v>
      </c>
      <c r="BD20" s="179">
        <f t="shared" si="16"/>
        <v>0</v>
      </c>
      <c r="BE20" s="179">
        <f t="shared" si="17"/>
        <v>32018.757000000005</v>
      </c>
      <c r="BF20" s="179" t="e">
        <f t="shared" si="18"/>
        <v>#VALUE!</v>
      </c>
      <c r="BG20" s="179">
        <f t="shared" si="19"/>
        <v>0</v>
      </c>
    </row>
    <row r="21" spans="1:59" x14ac:dyDescent="0.45">
      <c r="A21" s="179">
        <f t="shared" si="3"/>
        <v>1</v>
      </c>
      <c r="B21" s="179">
        <f t="shared" si="4"/>
        <v>6</v>
      </c>
      <c r="C21" s="184">
        <f t="shared" si="20"/>
        <v>5</v>
      </c>
      <c r="D21" s="69" t="s">
        <v>131</v>
      </c>
      <c r="E21" s="70">
        <v>20</v>
      </c>
      <c r="F21" s="156">
        <v>645</v>
      </c>
      <c r="G21" s="70" t="s">
        <v>234</v>
      </c>
      <c r="H21" s="95">
        <f>0.8/100</f>
        <v>8.0000000000000002E-3</v>
      </c>
      <c r="I21" s="95">
        <f t="shared" si="30"/>
        <v>4.0999999999999995E-2</v>
      </c>
      <c r="J21" s="95"/>
      <c r="K21" s="95"/>
      <c r="L21" s="167" t="e">
        <f t="shared" si="0"/>
        <v>#DIV/0!</v>
      </c>
      <c r="M21" s="156">
        <v>8.6</v>
      </c>
      <c r="N21" s="70" t="s">
        <v>233</v>
      </c>
      <c r="O21" s="193">
        <f>0.01/100</f>
        <v>1E-4</v>
      </c>
      <c r="P21" s="95">
        <f>0.01/100</f>
        <v>1E-4</v>
      </c>
      <c r="Q21" s="95" t="s">
        <v>357</v>
      </c>
      <c r="R21" s="169" t="s">
        <v>365</v>
      </c>
      <c r="S21" s="95" t="s">
        <v>357</v>
      </c>
      <c r="T21" s="156" t="e">
        <f t="shared" si="1"/>
        <v>#VALUE!</v>
      </c>
      <c r="U21" s="156" t="s">
        <v>348</v>
      </c>
      <c r="V21" s="156" t="e">
        <f t="shared" si="2"/>
        <v>#VALUE!</v>
      </c>
      <c r="W21" s="168" t="s">
        <v>348</v>
      </c>
      <c r="X21" s="156" t="s">
        <v>348</v>
      </c>
      <c r="Y21" s="168" t="s">
        <v>348</v>
      </c>
      <c r="AA21" s="179">
        <f>'[1]Regional Totals'!$D$15</f>
        <v>8657.215000000002</v>
      </c>
      <c r="AB21" s="179">
        <f t="shared" si="21"/>
        <v>74452.049000000014</v>
      </c>
      <c r="AC21" s="179">
        <f t="shared" si="22"/>
        <v>0.86572150000000025</v>
      </c>
      <c r="AD21" s="179">
        <f>'Regional Staffing Costs'!AB20</f>
        <v>748.97199999999998</v>
      </c>
      <c r="AE21" s="179">
        <f t="shared" si="5"/>
        <v>6441.1591999999991</v>
      </c>
      <c r="AF21" s="179">
        <f t="shared" si="23"/>
        <v>7.4897199999999997E-2</v>
      </c>
      <c r="AG21" s="179">
        <f t="shared" si="24"/>
        <v>1</v>
      </c>
      <c r="AH21" s="179">
        <f>'Regional Staffing Costs'!AE20</f>
        <v>2390.0320000000002</v>
      </c>
      <c r="AI21" s="179">
        <f t="shared" si="6"/>
        <v>20554.2752</v>
      </c>
      <c r="AJ21" s="179">
        <f t="shared" si="7"/>
        <v>0.23900320000000003</v>
      </c>
      <c r="AK21" s="179">
        <f t="shared" si="25"/>
        <v>1</v>
      </c>
      <c r="AL21" s="179">
        <f>'Regional Staffing Costs'!AH20</f>
        <v>1517.7139999999999</v>
      </c>
      <c r="AM21" s="179">
        <f t="shared" si="8"/>
        <v>13052.340399999999</v>
      </c>
      <c r="AN21" s="179">
        <f t="shared" si="9"/>
        <v>0.1517714</v>
      </c>
      <c r="AO21" s="179">
        <f t="shared" si="26"/>
        <v>1</v>
      </c>
      <c r="AP21" s="179">
        <f>'Regional Staffing Costs'!AK20</f>
        <v>2314.0959999999995</v>
      </c>
      <c r="AQ21" s="179">
        <f t="shared" si="10"/>
        <v>19901.225599999994</v>
      </c>
      <c r="AR21" s="179">
        <f t="shared" si="11"/>
        <v>0.23140959999999997</v>
      </c>
      <c r="AS21" s="179">
        <f t="shared" si="27"/>
        <v>1</v>
      </c>
      <c r="AT21" s="179">
        <f>'Regional Staffing Costs'!AN20</f>
        <v>1402.4059999999999</v>
      </c>
      <c r="AU21" s="179">
        <f t="shared" si="12"/>
        <v>12060.691599999998</v>
      </c>
      <c r="AV21" s="179">
        <f t="shared" si="13"/>
        <v>0.14024059999999999</v>
      </c>
      <c r="AW21" s="179">
        <f t="shared" si="28"/>
        <v>1</v>
      </c>
      <c r="AX21" s="179">
        <f>AA21-AD21-AH21-AL21-AP21-AT21</f>
        <v>283.99500000000262</v>
      </c>
      <c r="AY21" s="179"/>
      <c r="AZ21" s="179">
        <f t="shared" si="14"/>
        <v>2.8399500000000265E-2</v>
      </c>
      <c r="BA21" s="179">
        <f t="shared" si="29"/>
        <v>1</v>
      </c>
      <c r="BB21" s="179">
        <f>'[1]Regulated Totals'!$B$18</f>
        <v>801.45699999999988</v>
      </c>
      <c r="BC21" s="179">
        <f t="shared" si="15"/>
        <v>6892.5301999999983</v>
      </c>
      <c r="BD21" s="179">
        <f t="shared" si="16"/>
        <v>8.0145699999999986E-2</v>
      </c>
      <c r="BE21" s="179">
        <f t="shared" si="17"/>
        <v>7855.7580000000016</v>
      </c>
      <c r="BF21" s="179">
        <f t="shared" si="18"/>
        <v>67559.518800000005</v>
      </c>
      <c r="BG21" s="179">
        <f t="shared" si="19"/>
        <v>0.78557580000000016</v>
      </c>
    </row>
    <row r="22" spans="1:59" x14ac:dyDescent="0.45">
      <c r="A22" s="179">
        <f t="shared" si="3"/>
        <v>1</v>
      </c>
      <c r="B22" s="179">
        <f t="shared" si="4"/>
        <v>6</v>
      </c>
      <c r="C22" s="184">
        <f t="shared" si="20"/>
        <v>5</v>
      </c>
      <c r="D22" s="69" t="s">
        <v>134</v>
      </c>
      <c r="E22" s="70">
        <v>75</v>
      </c>
      <c r="F22" s="156">
        <v>1042</v>
      </c>
      <c r="G22" s="70" t="s">
        <v>230</v>
      </c>
      <c r="H22" s="95">
        <f>1.3/100</f>
        <v>1.3000000000000001E-2</v>
      </c>
      <c r="I22" s="95">
        <f t="shared" si="30"/>
        <v>4.0999999999999995E-2</v>
      </c>
      <c r="J22" s="95"/>
      <c r="K22" s="95"/>
      <c r="L22" s="167" t="e">
        <f t="shared" si="0"/>
        <v>#DIV/0!</v>
      </c>
      <c r="M22" s="162">
        <v>50</v>
      </c>
      <c r="N22" s="70" t="s">
        <v>231</v>
      </c>
      <c r="O22" s="193">
        <f>O7/4</f>
        <v>5.0000000000000001E-4</v>
      </c>
      <c r="P22" s="95"/>
      <c r="Q22" s="95" t="s">
        <v>357</v>
      </c>
      <c r="R22" s="169" t="s">
        <v>365</v>
      </c>
      <c r="S22" s="95" t="s">
        <v>357</v>
      </c>
      <c r="T22" s="156" t="e">
        <f t="shared" si="1"/>
        <v>#VALUE!</v>
      </c>
      <c r="U22" s="156" t="s">
        <v>348</v>
      </c>
      <c r="V22" s="156" t="e">
        <f t="shared" si="2"/>
        <v>#VALUE!</v>
      </c>
      <c r="W22" s="168" t="s">
        <v>348</v>
      </c>
      <c r="X22" s="156" t="s">
        <v>348</v>
      </c>
      <c r="Y22" s="168" t="s">
        <v>348</v>
      </c>
      <c r="AA22" s="179">
        <f>'[1]Regional Totals'!$D$16</f>
        <v>82.815999999999988</v>
      </c>
      <c r="AB22" s="179">
        <f t="shared" si="21"/>
        <v>4140.7999999999993</v>
      </c>
      <c r="AC22" s="179">
        <f t="shared" si="22"/>
        <v>4.1407999999999993E-2</v>
      </c>
      <c r="AD22" s="179">
        <f>'[1]Urban Tree Canopy'!$D$1</f>
        <v>14.351000000000001</v>
      </c>
      <c r="AE22" s="179">
        <f t="shared" si="5"/>
        <v>717.55000000000007</v>
      </c>
      <c r="AF22" s="179">
        <f t="shared" si="23"/>
        <v>7.1755000000000005E-3</v>
      </c>
      <c r="AG22" s="179">
        <f t="shared" si="24"/>
        <v>1</v>
      </c>
      <c r="AH22" s="179">
        <f>'[1]Urban Tree Canopy'!$D$5+'[1]Urban Tree Canopy'!$D$6</f>
        <v>20.34</v>
      </c>
      <c r="AI22" s="179">
        <f t="shared" si="6"/>
        <v>1017</v>
      </c>
      <c r="AJ22" s="179">
        <f t="shared" si="7"/>
        <v>1.017E-2</v>
      </c>
      <c r="AK22" s="179">
        <f t="shared" si="25"/>
        <v>1</v>
      </c>
      <c r="AL22" s="179">
        <f>'[1]Urban Tree Canopy'!$D$7</f>
        <v>15.930999999999999</v>
      </c>
      <c r="AM22" s="179">
        <f t="shared" si="8"/>
        <v>796.55</v>
      </c>
      <c r="AN22" s="179">
        <f t="shared" si="9"/>
        <v>7.9655000000000004E-3</v>
      </c>
      <c r="AO22" s="179">
        <f t="shared" si="26"/>
        <v>1</v>
      </c>
      <c r="AP22" s="179">
        <f>'[1]Urban Tree Canopy'!$D$8</f>
        <v>23.888999999999999</v>
      </c>
      <c r="AQ22" s="179">
        <f t="shared" si="10"/>
        <v>1194.45</v>
      </c>
      <c r="AR22" s="179">
        <f t="shared" si="11"/>
        <v>1.19445E-2</v>
      </c>
      <c r="AS22" s="179">
        <f t="shared" si="27"/>
        <v>1</v>
      </c>
      <c r="AT22" s="179">
        <f>'[1]Urban Tree Canopy'!$D$1</f>
        <v>14.351000000000001</v>
      </c>
      <c r="AU22" s="179">
        <f t="shared" si="12"/>
        <v>717.55000000000007</v>
      </c>
      <c r="AV22" s="179">
        <f t="shared" si="13"/>
        <v>7.1755000000000005E-3</v>
      </c>
      <c r="AW22" s="179">
        <f t="shared" si="28"/>
        <v>1</v>
      </c>
      <c r="AX22" s="179">
        <f>'[1]Urban Tree Canopy'!$D$2+'[1]Urban Tree Canopy'!$D$3</f>
        <v>0.55200000000000005</v>
      </c>
      <c r="AY22" s="179"/>
      <c r="AZ22" s="179">
        <f t="shared" si="14"/>
        <v>2.7600000000000004E-4</v>
      </c>
      <c r="BA22" s="179">
        <f t="shared" si="29"/>
        <v>1</v>
      </c>
      <c r="BB22" s="179">
        <f>'[1]Regulated Totals'!$B$19</f>
        <v>1.6950000000000001</v>
      </c>
      <c r="BC22" s="179">
        <f t="shared" si="15"/>
        <v>84.75</v>
      </c>
      <c r="BD22" s="179">
        <f t="shared" si="16"/>
        <v>8.4750000000000005E-4</v>
      </c>
      <c r="BE22" s="179">
        <f t="shared" si="17"/>
        <v>81.120999999999995</v>
      </c>
      <c r="BF22" s="179">
        <f t="shared" si="18"/>
        <v>4056.0499999999997</v>
      </c>
      <c r="BG22" s="179">
        <f t="shared" si="19"/>
        <v>4.0560499999999999E-2</v>
      </c>
    </row>
    <row r="23" spans="1:59" ht="28.5" x14ac:dyDescent="0.45">
      <c r="A23" s="179">
        <f t="shared" si="3"/>
        <v>1</v>
      </c>
      <c r="B23" s="179">
        <f t="shared" si="4"/>
        <v>6</v>
      </c>
      <c r="C23" s="184">
        <f t="shared" si="20"/>
        <v>5</v>
      </c>
      <c r="D23" s="69" t="s">
        <v>247</v>
      </c>
      <c r="E23" s="70">
        <v>20</v>
      </c>
      <c r="F23" s="156">
        <v>6281</v>
      </c>
      <c r="G23" s="70" t="s">
        <v>240</v>
      </c>
      <c r="H23" s="95">
        <f>7.9/100</f>
        <v>7.9000000000000001E-2</v>
      </c>
      <c r="I23" s="95">
        <f t="shared" si="30"/>
        <v>4.0999999999999995E-2</v>
      </c>
      <c r="J23" s="95"/>
      <c r="K23" s="95"/>
      <c r="L23" s="167" t="e">
        <f t="shared" si="0"/>
        <v>#DIV/0!</v>
      </c>
      <c r="M23" s="156">
        <v>314</v>
      </c>
      <c r="N23" s="70" t="s">
        <v>241</v>
      </c>
      <c r="O23" s="164">
        <f>0.6/100</f>
        <v>6.0000000000000001E-3</v>
      </c>
      <c r="P23" s="95">
        <f>0.7/100</f>
        <v>6.9999999999999993E-3</v>
      </c>
      <c r="Q23" s="95">
        <v>45</v>
      </c>
      <c r="R23" s="164">
        <v>45</v>
      </c>
      <c r="S23" s="95">
        <v>70</v>
      </c>
      <c r="T23" s="156">
        <f t="shared" si="1"/>
        <v>13957.777777777777</v>
      </c>
      <c r="U23" s="156">
        <f>F23/(R23/100)</f>
        <v>13957.777777777777</v>
      </c>
      <c r="V23" s="156">
        <f t="shared" si="2"/>
        <v>8972.8571428571431</v>
      </c>
      <c r="W23" s="168">
        <f>H23/(R23/100)</f>
        <v>0.17555555555555555</v>
      </c>
      <c r="X23" s="156">
        <f>M23/(R23/100)</f>
        <v>697.77777777777771</v>
      </c>
      <c r="Y23" s="168">
        <f>O23/(R23/100)</f>
        <v>1.3333333333333332E-2</v>
      </c>
      <c r="AA23" s="179">
        <f>'[1]Regional Totals'!$D$17</f>
        <v>148.93199999999999</v>
      </c>
      <c r="AB23" s="179">
        <f t="shared" si="21"/>
        <v>46764.647999999994</v>
      </c>
      <c r="AC23" s="179">
        <f t="shared" si="22"/>
        <v>0.89359199999999994</v>
      </c>
      <c r="AD23" s="179">
        <f>'Regional Staffing Costs'!AB22</f>
        <v>10.234000000000002</v>
      </c>
      <c r="AE23" s="179">
        <f t="shared" si="5"/>
        <v>3213.4760000000006</v>
      </c>
      <c r="AF23" s="179">
        <f t="shared" si="23"/>
        <v>6.1404000000000014E-2</v>
      </c>
      <c r="AG23" s="179">
        <f t="shared" si="24"/>
        <v>1</v>
      </c>
      <c r="AH23" s="179">
        <f>'Regional Staffing Costs'!AE22</f>
        <v>53.725000000000001</v>
      </c>
      <c r="AI23" s="179">
        <f t="shared" si="6"/>
        <v>16869.650000000001</v>
      </c>
      <c r="AJ23" s="179">
        <f t="shared" si="7"/>
        <v>0.32235000000000003</v>
      </c>
      <c r="AK23" s="179">
        <f t="shared" si="25"/>
        <v>1</v>
      </c>
      <c r="AL23" s="179">
        <f>'Regional Staffing Costs'!AH22</f>
        <v>20.553000000000001</v>
      </c>
      <c r="AM23" s="179">
        <f t="shared" si="8"/>
        <v>6453.6419999999998</v>
      </c>
      <c r="AN23" s="179">
        <f t="shared" si="9"/>
        <v>0.12331800000000001</v>
      </c>
      <c r="AO23" s="179">
        <f t="shared" si="26"/>
        <v>1</v>
      </c>
      <c r="AP23" s="179">
        <f>'Regional Staffing Costs'!AK22</f>
        <v>31.678000000000001</v>
      </c>
      <c r="AQ23" s="179">
        <f t="shared" si="10"/>
        <v>9946.8919999999998</v>
      </c>
      <c r="AR23" s="179">
        <f t="shared" si="11"/>
        <v>0.19006800000000001</v>
      </c>
      <c r="AS23" s="179">
        <f t="shared" si="27"/>
        <v>1</v>
      </c>
      <c r="AT23" s="179">
        <f>'Regional Staffing Costs'!AN22</f>
        <v>19.303000000000001</v>
      </c>
      <c r="AU23" s="179">
        <f t="shared" si="12"/>
        <v>6061.1419999999998</v>
      </c>
      <c r="AV23" s="179">
        <f t="shared" si="13"/>
        <v>0.115818</v>
      </c>
      <c r="AW23" s="179">
        <f t="shared" si="28"/>
        <v>1</v>
      </c>
      <c r="AX23" s="179">
        <f>'Regional Staffing Costs'!AQ22</f>
        <v>13.439000000000002</v>
      </c>
      <c r="AY23" s="179"/>
      <c r="AZ23" s="179">
        <f t="shared" si="14"/>
        <v>8.0634000000000011E-2</v>
      </c>
      <c r="BA23" s="179">
        <f t="shared" si="29"/>
        <v>1</v>
      </c>
      <c r="BB23" s="179">
        <f>'[1]Regulated Totals'!$B$20</f>
        <v>41.417000000000002</v>
      </c>
      <c r="BC23" s="179">
        <f t="shared" si="15"/>
        <v>13004.938</v>
      </c>
      <c r="BD23" s="179">
        <f t="shared" si="16"/>
        <v>0.24850200000000003</v>
      </c>
      <c r="BE23" s="179">
        <f t="shared" si="17"/>
        <v>107.51499999999999</v>
      </c>
      <c r="BF23" s="179">
        <f t="shared" si="18"/>
        <v>33759.71</v>
      </c>
      <c r="BG23" s="179">
        <f t="shared" si="19"/>
        <v>0.64508999999999994</v>
      </c>
    </row>
    <row r="24" spans="1:59" ht="28.5" hidden="1" x14ac:dyDescent="0.45">
      <c r="A24" s="179">
        <f t="shared" si="3"/>
        <v>0</v>
      </c>
      <c r="B24" s="179">
        <f t="shared" si="4"/>
        <v>0</v>
      </c>
      <c r="C24" s="184">
        <f t="shared" si="20"/>
        <v>0</v>
      </c>
      <c r="D24" s="69" t="s">
        <v>249</v>
      </c>
      <c r="E24" s="70">
        <v>20</v>
      </c>
      <c r="F24" s="156">
        <v>6281</v>
      </c>
      <c r="G24" s="70" t="s">
        <v>240</v>
      </c>
      <c r="H24" s="95">
        <f>7.9/100</f>
        <v>7.9000000000000001E-2</v>
      </c>
      <c r="I24" s="95">
        <f t="shared" si="30"/>
        <v>4.0999999999999995E-2</v>
      </c>
      <c r="J24" s="95"/>
      <c r="K24" s="95"/>
      <c r="L24" s="167" t="e">
        <f t="shared" si="0"/>
        <v>#DIV/0!</v>
      </c>
      <c r="M24" s="156">
        <v>314</v>
      </c>
      <c r="N24" s="70" t="s">
        <v>241</v>
      </c>
      <c r="O24" s="164"/>
      <c r="P24" s="95"/>
      <c r="Q24" s="95">
        <v>10</v>
      </c>
      <c r="R24" s="164">
        <v>10</v>
      </c>
      <c r="S24" s="95">
        <v>50</v>
      </c>
      <c r="T24" s="156">
        <f t="shared" si="1"/>
        <v>62810</v>
      </c>
      <c r="U24" s="156">
        <f>F24/(R24/100)</f>
        <v>62810</v>
      </c>
      <c r="V24" s="156">
        <f t="shared" si="2"/>
        <v>12562</v>
      </c>
      <c r="W24" s="168">
        <f>H24/(R24/100)</f>
        <v>0.78999999999999992</v>
      </c>
      <c r="X24" s="156">
        <f>M24/(R24/100)</f>
        <v>3140</v>
      </c>
      <c r="Y24" s="168">
        <f>O24/(R24/100)</f>
        <v>0</v>
      </c>
      <c r="AA24" s="179">
        <v>0</v>
      </c>
      <c r="AB24" s="179">
        <f t="shared" si="21"/>
        <v>0</v>
      </c>
      <c r="AC24" s="179">
        <f t="shared" si="22"/>
        <v>0</v>
      </c>
      <c r="AD24" s="179"/>
      <c r="AE24" s="179">
        <f t="shared" si="5"/>
        <v>0</v>
      </c>
      <c r="AF24" s="179">
        <f t="shared" si="23"/>
        <v>0</v>
      </c>
      <c r="AG24" s="179">
        <f t="shared" si="24"/>
        <v>0</v>
      </c>
      <c r="AH24" s="179"/>
      <c r="AI24" s="179">
        <f t="shared" si="6"/>
        <v>0</v>
      </c>
      <c r="AJ24" s="179">
        <f t="shared" si="7"/>
        <v>0</v>
      </c>
      <c r="AK24" s="179">
        <f t="shared" si="25"/>
        <v>0</v>
      </c>
      <c r="AL24" s="179"/>
      <c r="AM24" s="179">
        <f t="shared" si="8"/>
        <v>0</v>
      </c>
      <c r="AN24" s="179">
        <f t="shared" si="9"/>
        <v>0</v>
      </c>
      <c r="AO24" s="179">
        <f t="shared" si="26"/>
        <v>0</v>
      </c>
      <c r="AP24" s="179"/>
      <c r="AQ24" s="179">
        <f t="shared" si="10"/>
        <v>0</v>
      </c>
      <c r="AR24" s="179">
        <f t="shared" si="11"/>
        <v>0</v>
      </c>
      <c r="AS24" s="179">
        <f t="shared" si="27"/>
        <v>0</v>
      </c>
      <c r="AT24" s="179"/>
      <c r="AU24" s="179">
        <f t="shared" si="12"/>
        <v>0</v>
      </c>
      <c r="AV24" s="179">
        <f t="shared" si="13"/>
        <v>0</v>
      </c>
      <c r="AW24" s="179">
        <f t="shared" si="28"/>
        <v>0</v>
      </c>
      <c r="AX24" s="179"/>
      <c r="AY24" s="179"/>
      <c r="AZ24" s="179">
        <f t="shared" si="14"/>
        <v>0</v>
      </c>
      <c r="BA24" s="179">
        <f t="shared" si="29"/>
        <v>0</v>
      </c>
      <c r="BB24" s="179">
        <v>0</v>
      </c>
      <c r="BC24" s="179">
        <f t="shared" si="15"/>
        <v>0</v>
      </c>
      <c r="BD24" s="179">
        <f t="shared" si="16"/>
        <v>0</v>
      </c>
      <c r="BE24" s="179">
        <f t="shared" si="17"/>
        <v>0</v>
      </c>
      <c r="BF24" s="179">
        <f t="shared" si="18"/>
        <v>0</v>
      </c>
      <c r="BG24" s="179">
        <f t="shared" si="19"/>
        <v>0</v>
      </c>
    </row>
    <row r="25" spans="1:59" ht="28.5" x14ac:dyDescent="0.45">
      <c r="A25" s="179">
        <f>AC25</f>
        <v>19.048662000000004</v>
      </c>
      <c r="B25" s="179">
        <f t="shared" si="4"/>
        <v>20</v>
      </c>
      <c r="C25" s="184">
        <f t="shared" si="20"/>
        <v>0.95133799999999624</v>
      </c>
      <c r="D25" s="69" t="s">
        <v>137</v>
      </c>
      <c r="E25" s="70">
        <v>50</v>
      </c>
      <c r="F25" s="156">
        <v>5682</v>
      </c>
      <c r="G25" s="70" t="s">
        <v>240</v>
      </c>
      <c r="H25" s="95">
        <f>7.2/100</f>
        <v>7.2000000000000008E-2</v>
      </c>
      <c r="I25" s="95">
        <f t="shared" si="30"/>
        <v>4.0999999999999995E-2</v>
      </c>
      <c r="J25" s="95"/>
      <c r="K25" s="95"/>
      <c r="L25" s="167" t="e">
        <f t="shared" si="0"/>
        <v>#DIV/0!</v>
      </c>
      <c r="M25" s="156">
        <v>106</v>
      </c>
      <c r="N25" s="70" t="s">
        <v>241</v>
      </c>
      <c r="O25" s="164">
        <f>0.2/100</f>
        <v>2E-3</v>
      </c>
      <c r="P25" s="95">
        <f>0.2/100</f>
        <v>2E-3</v>
      </c>
      <c r="Q25" s="95">
        <v>20</v>
      </c>
      <c r="R25" s="164">
        <v>45</v>
      </c>
      <c r="S25" s="95">
        <v>60</v>
      </c>
      <c r="T25" s="156">
        <f t="shared" si="1"/>
        <v>28410</v>
      </c>
      <c r="U25" s="156">
        <f>F25/(R25/100)</f>
        <v>12626.666666666666</v>
      </c>
      <c r="V25" s="156">
        <f t="shared" si="2"/>
        <v>9470</v>
      </c>
      <c r="W25" s="168">
        <f>H25/(R25/100)</f>
        <v>0.16</v>
      </c>
      <c r="X25" s="156">
        <f>M25/(R25/100)</f>
        <v>235.55555555555554</v>
      </c>
      <c r="Y25" s="168">
        <f>O25/(R25/100)</f>
        <v>4.4444444444444444E-3</v>
      </c>
      <c r="AA25" s="179">
        <f>'[1]Regional Totals'!$D$18</f>
        <v>9524.3310000000019</v>
      </c>
      <c r="AB25" s="179">
        <f t="shared" si="21"/>
        <v>1009579.0860000002</v>
      </c>
      <c r="AC25" s="179">
        <f t="shared" si="22"/>
        <v>19.048662000000004</v>
      </c>
      <c r="AD25" s="179">
        <f>'[1]Weet Ponds and Wetlands'!$D$1+'[1]Weet Ponds and Wetlands'!$D$2+'[1]Weet Ponds and Wetlands'!$D$3</f>
        <v>735.03499999999997</v>
      </c>
      <c r="AE25" s="179">
        <f t="shared" si="5"/>
        <v>77913.709999999992</v>
      </c>
      <c r="AF25" s="179">
        <f t="shared" si="23"/>
        <v>1.47007</v>
      </c>
      <c r="AG25" s="179">
        <f t="shared" si="24"/>
        <v>2</v>
      </c>
      <c r="AH25" s="179">
        <f>'[1]Weet Ponds and Wetlands'!$D$4+'[1]Weet Ponds and Wetlands'!$D$5+'[1]Weet Ponds and Wetlands'!$D$6</f>
        <v>2376.7939999999999</v>
      </c>
      <c r="AI25" s="179">
        <f t="shared" si="6"/>
        <v>251940.16399999999</v>
      </c>
      <c r="AJ25" s="179">
        <f t="shared" si="7"/>
        <v>4.7535879999999997</v>
      </c>
      <c r="AK25" s="179">
        <f t="shared" si="25"/>
        <v>5</v>
      </c>
      <c r="AL25" s="179">
        <f>'[1]Weet Ponds and Wetlands'!$D$7+'[1]Weet Ponds and Wetlands'!$D$8</f>
        <v>1450.1020000000001</v>
      </c>
      <c r="AM25" s="179">
        <f t="shared" si="8"/>
        <v>153710.81200000001</v>
      </c>
      <c r="AN25" s="179">
        <f t="shared" si="9"/>
        <v>2.9002040000000004</v>
      </c>
      <c r="AO25" s="179">
        <f t="shared" si="26"/>
        <v>3</v>
      </c>
      <c r="AP25" s="179">
        <f>'[1]Weet Ponds and Wetlands'!$D$15+'[1]Weet Ponds and Wetlands'!$D$16</f>
        <v>2282.6970000000001</v>
      </c>
      <c r="AQ25" s="179">
        <f t="shared" si="10"/>
        <v>241965.88200000001</v>
      </c>
      <c r="AR25" s="179">
        <f t="shared" si="11"/>
        <v>4.5653940000000004</v>
      </c>
      <c r="AS25" s="179">
        <f t="shared" si="27"/>
        <v>5</v>
      </c>
      <c r="AT25" s="179">
        <f>'[1]Weet Ponds and Wetlands'!$D$9+'[1]Weet Ponds and Wetlands'!$D$10</f>
        <v>1405.652</v>
      </c>
      <c r="AU25" s="179">
        <f t="shared" si="12"/>
        <v>148999.11199999999</v>
      </c>
      <c r="AV25" s="179">
        <f t="shared" si="13"/>
        <v>2.8113040000000002</v>
      </c>
      <c r="AW25" s="179">
        <f t="shared" si="28"/>
        <v>3</v>
      </c>
      <c r="AX25" s="179">
        <f>'[1]Weet Ponds and Wetlands'!$D$11+'[1]Weet Ponds and Wetlands'!$D$12+'[1]Weet Ponds and Wetlands'!$D$13+'[1]Weet Ponds and Wetlands'!$D$14</f>
        <v>661.08699999999999</v>
      </c>
      <c r="AY25" s="179"/>
      <c r="AZ25" s="179">
        <f t="shared" si="14"/>
        <v>1.322174</v>
      </c>
      <c r="BA25" s="179">
        <f t="shared" si="29"/>
        <v>2</v>
      </c>
      <c r="BB25" s="179">
        <f>'[1]Regulated Totals'!$B$21</f>
        <v>1779.8820000000001</v>
      </c>
      <c r="BC25" s="179">
        <f t="shared" si="15"/>
        <v>188667.492</v>
      </c>
      <c r="BD25" s="179">
        <f t="shared" si="16"/>
        <v>3.5597640000000004</v>
      </c>
      <c r="BE25" s="179">
        <f t="shared" si="17"/>
        <v>7744.4490000000023</v>
      </c>
      <c r="BF25" s="179">
        <f t="shared" si="18"/>
        <v>820911.59400000027</v>
      </c>
      <c r="BG25" s="179">
        <f t="shared" si="19"/>
        <v>15.488898000000004</v>
      </c>
    </row>
    <row r="26" spans="1:59" ht="30.6" customHeight="1" x14ac:dyDescent="0.45"/>
    <row r="27" spans="1:59" ht="30.6" customHeight="1" x14ac:dyDescent="0.45">
      <c r="A27" s="179">
        <f>A25+A23+A22+A21+A18+A16+A15+A14+A11+A10+A9+A7</f>
        <v>172.04866200000001</v>
      </c>
      <c r="B27" s="179">
        <f>B25+B23+B22+B21+B18+B16+B15+B14+B11+B10+B9+B7</f>
        <v>213</v>
      </c>
      <c r="C27" s="179">
        <f>C25+C23+C22+C21+C18+C16+C15+C14+C11+C10+C9+C7</f>
        <v>40.951337999999993</v>
      </c>
      <c r="O27" t="s">
        <v>269</v>
      </c>
      <c r="AA27" s="179">
        <f t="shared" ref="AA27:BG27" si="31">AA25+AA23+AA22+AA21+AA18+AA16+AA15+AA14+AA11+AA10+AA9+AA7</f>
        <v>47032.647000000012</v>
      </c>
      <c r="AB27" s="179">
        <f t="shared" si="31"/>
        <v>13889554.509240001</v>
      </c>
      <c r="AC27" s="179">
        <f t="shared" si="31"/>
        <v>166.58176800000001</v>
      </c>
      <c r="AD27" s="179">
        <f t="shared" si="31"/>
        <v>3864.8089999999997</v>
      </c>
      <c r="AE27" s="179">
        <f t="shared" si="31"/>
        <v>1147788.3251</v>
      </c>
      <c r="AF27" s="179">
        <f t="shared" si="31"/>
        <v>13.7150362</v>
      </c>
      <c r="AG27" s="179">
        <f t="shared" si="31"/>
        <v>22</v>
      </c>
      <c r="AH27" s="179">
        <f t="shared" si="31"/>
        <v>13372.311999999998</v>
      </c>
      <c r="AI27" s="179">
        <f t="shared" si="31"/>
        <v>3942570.2728199991</v>
      </c>
      <c r="AJ27" s="179">
        <f t="shared" si="31"/>
        <v>47.159071199999993</v>
      </c>
      <c r="AK27" s="179">
        <f t="shared" si="31"/>
        <v>56</v>
      </c>
      <c r="AL27" s="179">
        <f t="shared" si="31"/>
        <v>7654.255000000001</v>
      </c>
      <c r="AM27" s="179">
        <f t="shared" si="31"/>
        <v>2180574.63289</v>
      </c>
      <c r="AN27" s="179">
        <f t="shared" si="31"/>
        <v>26.142192900000001</v>
      </c>
      <c r="AO27" s="179">
        <f t="shared" si="31"/>
        <v>34</v>
      </c>
      <c r="AP27" s="179">
        <f t="shared" si="31"/>
        <v>11969.391</v>
      </c>
      <c r="AQ27" s="179">
        <f t="shared" si="31"/>
        <v>3588322.6832100004</v>
      </c>
      <c r="AR27" s="179">
        <f t="shared" si="31"/>
        <v>42.853887100000001</v>
      </c>
      <c r="AS27" s="179">
        <f t="shared" si="31"/>
        <v>50</v>
      </c>
      <c r="AT27" s="179">
        <f t="shared" si="31"/>
        <v>7346.1779999999999</v>
      </c>
      <c r="AU27" s="179">
        <f t="shared" si="31"/>
        <v>2256427.1400100002</v>
      </c>
      <c r="AV27" s="179">
        <f t="shared" si="31"/>
        <v>26.900018100000004</v>
      </c>
      <c r="AW27" s="179">
        <f t="shared" si="31"/>
        <v>34</v>
      </c>
      <c r="AX27" s="179">
        <f t="shared" si="31"/>
        <v>2397.4760000000024</v>
      </c>
      <c r="AY27" s="179">
        <f t="shared" si="31"/>
        <v>0</v>
      </c>
      <c r="AZ27" s="179">
        <f t="shared" si="31"/>
        <v>8.766589500000002</v>
      </c>
      <c r="BA27" s="179">
        <f t="shared" si="31"/>
        <v>17</v>
      </c>
      <c r="BB27" s="179">
        <f t="shared" si="31"/>
        <v>6419.3290000000006</v>
      </c>
      <c r="BC27" s="179">
        <f t="shared" si="31"/>
        <v>1725496.2499799998</v>
      </c>
      <c r="BD27" s="179">
        <f t="shared" si="31"/>
        <v>21.301237199999999</v>
      </c>
      <c r="BE27" s="179">
        <f t="shared" si="31"/>
        <v>40613.317999999999</v>
      </c>
      <c r="BF27" s="179">
        <f t="shared" si="31"/>
        <v>12164058.259260001</v>
      </c>
      <c r="BG27" s="179">
        <f t="shared" si="31"/>
        <v>145.28053080000004</v>
      </c>
    </row>
    <row r="28" spans="1:59" x14ac:dyDescent="0.45">
      <c r="AA28" s="177" t="s">
        <v>269</v>
      </c>
      <c r="AB28" s="177">
        <f>SUM(AB7:AB25)</f>
        <v>13911699.589240002</v>
      </c>
      <c r="AC28" s="85">
        <f>SUM(AC7:AC25)</f>
        <v>166.82561800000002</v>
      </c>
    </row>
    <row r="29" spans="1:59" x14ac:dyDescent="0.45">
      <c r="D29" s="194" t="s">
        <v>401</v>
      </c>
    </row>
    <row r="30" spans="1:59" x14ac:dyDescent="0.45">
      <c r="A30" t="s">
        <v>387</v>
      </c>
    </row>
    <row r="31" spans="1:59" x14ac:dyDescent="0.45">
      <c r="A31" t="s">
        <v>388</v>
      </c>
    </row>
    <row r="32" spans="1:59" x14ac:dyDescent="0.45">
      <c r="A32" t="s">
        <v>389</v>
      </c>
    </row>
    <row r="33" spans="1:1" x14ac:dyDescent="0.45">
      <c r="A33" t="s">
        <v>390</v>
      </c>
    </row>
    <row r="34" spans="1:1" x14ac:dyDescent="0.45">
      <c r="A34" t="s">
        <v>392</v>
      </c>
    </row>
    <row r="35" spans="1:1" x14ac:dyDescent="0.45">
      <c r="A35" t="s">
        <v>397</v>
      </c>
    </row>
  </sheetData>
  <mergeCells count="19">
    <mergeCell ref="D3:AV3"/>
    <mergeCell ref="U4:Z4"/>
    <mergeCell ref="AA4:AC4"/>
    <mergeCell ref="D4:D5"/>
    <mergeCell ref="E4:E5"/>
    <mergeCell ref="F4:F5"/>
    <mergeCell ref="G4:G5"/>
    <mergeCell ref="M4:M5"/>
    <mergeCell ref="N4:N5"/>
    <mergeCell ref="Q4:S4"/>
    <mergeCell ref="A4:C4"/>
    <mergeCell ref="BE4:BG4"/>
    <mergeCell ref="BB4:BD4"/>
    <mergeCell ref="AD4:AG4"/>
    <mergeCell ref="AH4:AK4"/>
    <mergeCell ref="AL4:AO4"/>
    <mergeCell ref="AP4:AS4"/>
    <mergeCell ref="AT4:AW4"/>
    <mergeCell ref="AX4:BA4"/>
  </mergeCells>
  <conditionalFormatting sqref="Y6:Y25">
    <cfRule type="colorScale" priority="2">
      <colorScale>
        <cfvo type="min"/>
        <cfvo type="percentile" val="50"/>
        <cfvo type="max"/>
        <color rgb="FF63BE7B"/>
        <color rgb="FFFFEB84"/>
        <color rgb="FFF8696B"/>
      </colorScale>
    </cfRule>
  </conditionalFormatting>
  <conditionalFormatting sqref="U6:U25">
    <cfRule type="colorScale" priority="5">
      <colorScale>
        <cfvo type="min"/>
        <cfvo type="percentile" val="50"/>
        <cfvo type="max"/>
        <color rgb="FF63BE7B"/>
        <color rgb="FFFFEB84"/>
        <color rgb="FFF8696B"/>
      </colorScale>
    </cfRule>
  </conditionalFormatting>
  <conditionalFormatting sqref="W6:W25">
    <cfRule type="colorScale" priority="4">
      <colorScale>
        <cfvo type="min"/>
        <cfvo type="percentile" val="50"/>
        <cfvo type="max"/>
        <color rgb="FF63BE7B"/>
        <color rgb="FFFFEB84"/>
        <color rgb="FFF8696B"/>
      </colorScale>
    </cfRule>
  </conditionalFormatting>
  <conditionalFormatting sqref="X6:X25">
    <cfRule type="colorScale" priority="3">
      <colorScale>
        <cfvo type="min"/>
        <cfvo type="percentile" val="50"/>
        <cfvo type="max"/>
        <color rgb="FF63BE7B"/>
        <color rgb="FFFFEB84"/>
        <color rgb="FFF8696B"/>
      </colorScale>
    </cfRule>
  </conditionalFormatting>
  <conditionalFormatting sqref="AF7:AF25 AJ7:AJ25 AN7:AN25 AR7:AR25 AV7:AV25 AZ7:AZ25">
    <cfRule type="cellIs" dxfId="0" priority="1" operator="lessThan">
      <formula>1</formula>
    </cfRule>
  </conditionalFormatting>
  <printOptions gridLines="1"/>
  <pageMargins left="0.7" right="0.7" top="0.75" bottom="0.75" header="0.3" footer="0.3"/>
  <pageSetup scale="61"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6"/>
  <sheetViews>
    <sheetView zoomScale="75" zoomScaleNormal="75" workbookViewId="0">
      <pane xSplit="24" ySplit="4" topLeftCell="Y10" activePane="bottomRight" state="frozen"/>
      <selection pane="topRight" activeCell="Y1" sqref="Y1"/>
      <selection pane="bottomLeft" activeCell="A5" sqref="A5"/>
      <selection pane="bottomRight" activeCell="A22" sqref="A22:XFD22"/>
    </sheetView>
  </sheetViews>
  <sheetFormatPr defaultColWidth="14" defaultRowHeight="14.25" x14ac:dyDescent="0.45"/>
  <cols>
    <col min="1" max="1" width="6.59765625" bestFit="1" customWidth="1"/>
    <col min="2" max="2" width="34" bestFit="1" customWidth="1"/>
    <col min="3" max="3" width="13.86328125" hidden="1" customWidth="1"/>
    <col min="4" max="4" width="8.59765625" hidden="1" customWidth="1"/>
    <col min="5" max="5" width="13.73046875" hidden="1" customWidth="1"/>
    <col min="6" max="6" width="20.265625" hidden="1" customWidth="1"/>
    <col min="7" max="7" width="6" hidden="1" customWidth="1"/>
    <col min="8" max="9" width="9" hidden="1" customWidth="1"/>
    <col min="10" max="10" width="11.1328125" hidden="1" customWidth="1"/>
    <col min="11" max="12" width="12.265625" bestFit="1" customWidth="1"/>
    <col min="13" max="13" width="20.265625" bestFit="1" customWidth="1"/>
    <col min="14" max="14" width="7" bestFit="1" customWidth="1"/>
    <col min="15" max="15" width="4.59765625" hidden="1" customWidth="1"/>
    <col min="16" max="16" width="13.59765625" style="165" hidden="1" customWidth="1"/>
    <col min="17" max="17" width="9.59765625" hidden="1" customWidth="1"/>
    <col min="18" max="19" width="8.59765625" hidden="1" customWidth="1"/>
    <col min="20" max="20" width="9.59765625" hidden="1" customWidth="1"/>
    <col min="21" max="21" width="16.1328125" hidden="1" customWidth="1"/>
    <col min="22" max="22" width="7.73046875" hidden="1" customWidth="1"/>
    <col min="23" max="23" width="17.86328125" hidden="1" customWidth="1"/>
    <col min="24" max="24" width="0" hidden="1" customWidth="1"/>
    <col min="25" max="25" width="10" bestFit="1" customWidth="1"/>
    <col min="26" max="26" width="14.3984375" bestFit="1" customWidth="1"/>
    <col min="27" max="27" width="13.86328125" bestFit="1" customWidth="1"/>
    <col min="28" max="28" width="9" bestFit="1" customWidth="1"/>
    <col min="29" max="29" width="10.1328125" bestFit="1" customWidth="1"/>
    <col min="30" max="30" width="9" customWidth="1"/>
    <col min="31" max="31" width="9" bestFit="1" customWidth="1"/>
    <col min="32" max="33" width="9" customWidth="1"/>
    <col min="34" max="34" width="9" bestFit="1" customWidth="1"/>
    <col min="35" max="36" width="9" customWidth="1"/>
    <col min="37" max="37" width="12" bestFit="1" customWidth="1"/>
    <col min="38" max="39" width="12" customWidth="1"/>
    <col min="40" max="40" width="9" bestFit="1" customWidth="1"/>
    <col min="41" max="42" width="9" customWidth="1"/>
    <col min="43" max="43" width="11.73046875" bestFit="1" customWidth="1"/>
    <col min="44" max="44" width="3.73046875" customWidth="1"/>
    <col min="45" max="45" width="3.3984375" customWidth="1"/>
    <col min="46" max="46" width="8" bestFit="1" customWidth="1"/>
    <col min="47" max="47" width="11.1328125" bestFit="1" customWidth="1"/>
    <col min="48" max="48" width="14.73046875" bestFit="1" customWidth="1"/>
  </cols>
  <sheetData>
    <row r="1" spans="1:51" ht="30.6" customHeight="1" x14ac:dyDescent="0.45">
      <c r="S1" s="170" t="s">
        <v>366</v>
      </c>
      <c r="U1" s="171" t="s">
        <v>367</v>
      </c>
      <c r="V1" s="172" t="s">
        <v>262</v>
      </c>
      <c r="Y1" s="268" t="s">
        <v>379</v>
      </c>
      <c r="Z1" s="268"/>
      <c r="AA1" s="268"/>
      <c r="AB1" s="268"/>
      <c r="AC1" s="268"/>
      <c r="AD1" s="268"/>
      <c r="AE1" s="268"/>
      <c r="AF1" s="268"/>
      <c r="AG1" s="268"/>
      <c r="AH1" s="268"/>
      <c r="AI1" s="268"/>
      <c r="AJ1" s="268"/>
      <c r="AK1" s="268"/>
      <c r="AL1" s="268"/>
      <c r="AM1" s="268"/>
      <c r="AN1" s="268"/>
      <c r="AO1" s="268"/>
      <c r="AP1" s="268"/>
      <c r="AQ1" s="268"/>
      <c r="AR1" s="165"/>
      <c r="AS1" s="165"/>
    </row>
    <row r="2" spans="1:51" x14ac:dyDescent="0.45">
      <c r="Y2" s="268" t="s">
        <v>378</v>
      </c>
      <c r="Z2" s="268"/>
      <c r="AA2" s="268"/>
      <c r="AB2" s="268"/>
      <c r="AC2" s="268"/>
      <c r="AD2" s="268"/>
      <c r="AE2" s="268"/>
      <c r="AF2" s="268"/>
      <c r="AG2" s="268"/>
      <c r="AH2" s="268"/>
      <c r="AI2" s="268"/>
      <c r="AJ2" s="268"/>
      <c r="AK2" s="268"/>
      <c r="AL2" s="268"/>
      <c r="AM2" s="268"/>
      <c r="AN2" s="268"/>
      <c r="AO2" s="268"/>
      <c r="AP2" s="268"/>
      <c r="AQ2" s="268"/>
      <c r="AR2" s="165"/>
      <c r="AS2" s="165"/>
    </row>
    <row r="3" spans="1:51" ht="30.6" customHeight="1" x14ac:dyDescent="0.45">
      <c r="A3" s="266" t="s">
        <v>0</v>
      </c>
      <c r="B3" s="265" t="s">
        <v>225</v>
      </c>
      <c r="C3" s="265" t="s">
        <v>252</v>
      </c>
      <c r="D3" s="266" t="s">
        <v>16</v>
      </c>
      <c r="E3" s="266" t="s">
        <v>253</v>
      </c>
      <c r="F3" s="173" t="s">
        <v>358</v>
      </c>
      <c r="G3" s="173"/>
      <c r="K3" s="266" t="s">
        <v>383</v>
      </c>
      <c r="L3" s="266" t="s">
        <v>255</v>
      </c>
      <c r="M3" s="173" t="s">
        <v>380</v>
      </c>
      <c r="N3" s="173"/>
      <c r="O3" s="267" t="s">
        <v>362</v>
      </c>
      <c r="P3" s="267"/>
      <c r="Q3" s="267"/>
      <c r="S3" s="264" t="s">
        <v>368</v>
      </c>
      <c r="T3" s="264"/>
      <c r="U3" s="264"/>
      <c r="V3" s="264"/>
      <c r="W3" s="264"/>
      <c r="X3" s="264"/>
      <c r="Y3" s="268" t="s">
        <v>369</v>
      </c>
      <c r="Z3" s="268"/>
      <c r="AA3" s="268"/>
      <c r="AB3" s="268" t="s">
        <v>372</v>
      </c>
      <c r="AC3" s="268"/>
      <c r="AD3" s="268"/>
      <c r="AE3" s="268" t="s">
        <v>373</v>
      </c>
      <c r="AF3" s="268"/>
      <c r="AG3" s="268"/>
      <c r="AH3" s="268" t="s">
        <v>374</v>
      </c>
      <c r="AI3" s="268"/>
      <c r="AJ3" s="268"/>
      <c r="AK3" s="268" t="s">
        <v>375</v>
      </c>
      <c r="AL3" s="268"/>
      <c r="AM3" s="268"/>
      <c r="AN3" s="268" t="s">
        <v>376</v>
      </c>
      <c r="AO3" s="268"/>
      <c r="AP3" s="268"/>
      <c r="AQ3" t="s">
        <v>377</v>
      </c>
      <c r="AT3" t="s">
        <v>370</v>
      </c>
      <c r="AW3" t="s">
        <v>371</v>
      </c>
    </row>
    <row r="4" spans="1:51" x14ac:dyDescent="0.45">
      <c r="A4" s="266"/>
      <c r="B4" s="265"/>
      <c r="C4" s="265"/>
      <c r="D4" s="266"/>
      <c r="E4" s="266"/>
      <c r="F4" s="174" t="s">
        <v>355</v>
      </c>
      <c r="G4" s="174" t="s">
        <v>269</v>
      </c>
      <c r="H4" t="s">
        <v>355</v>
      </c>
      <c r="I4" t="s">
        <v>269</v>
      </c>
      <c r="J4" t="s">
        <v>356</v>
      </c>
      <c r="K4" s="266"/>
      <c r="L4" s="266"/>
      <c r="M4" s="174" t="s">
        <v>355</v>
      </c>
      <c r="N4" s="174" t="s">
        <v>269</v>
      </c>
      <c r="O4" s="166" t="s">
        <v>359</v>
      </c>
      <c r="P4" s="166" t="s">
        <v>360</v>
      </c>
      <c r="Q4" s="166" t="s">
        <v>361</v>
      </c>
      <c r="R4" t="s">
        <v>359</v>
      </c>
      <c r="S4" s="96" t="s">
        <v>16</v>
      </c>
      <c r="T4" s="96" t="s">
        <v>361</v>
      </c>
      <c r="U4" s="96" t="s">
        <v>363</v>
      </c>
      <c r="V4" s="96" t="s">
        <v>254</v>
      </c>
      <c r="W4" s="96" t="s">
        <v>364</v>
      </c>
      <c r="Y4" s="96" t="s">
        <v>384</v>
      </c>
      <c r="Z4" t="s">
        <v>381</v>
      </c>
      <c r="AA4" t="s">
        <v>382</v>
      </c>
      <c r="AB4" s="96" t="s">
        <v>384</v>
      </c>
      <c r="AC4" t="s">
        <v>381</v>
      </c>
      <c r="AD4" t="s">
        <v>382</v>
      </c>
      <c r="AE4" s="96" t="s">
        <v>384</v>
      </c>
      <c r="AF4" t="s">
        <v>381</v>
      </c>
      <c r="AG4" t="s">
        <v>382</v>
      </c>
      <c r="AH4" s="96" t="s">
        <v>384</v>
      </c>
      <c r="AI4" t="s">
        <v>381</v>
      </c>
      <c r="AJ4" t="s">
        <v>382</v>
      </c>
      <c r="AK4" s="96" t="s">
        <v>384</v>
      </c>
      <c r="AL4" t="s">
        <v>381</v>
      </c>
      <c r="AM4" t="s">
        <v>382</v>
      </c>
      <c r="AN4" s="96" t="s">
        <v>384</v>
      </c>
      <c r="AO4" t="s">
        <v>381</v>
      </c>
      <c r="AP4" t="s">
        <v>382</v>
      </c>
      <c r="AT4" s="96" t="s">
        <v>384</v>
      </c>
      <c r="AU4" t="s">
        <v>381</v>
      </c>
      <c r="AV4" t="s">
        <v>382</v>
      </c>
      <c r="AW4" t="s">
        <v>384</v>
      </c>
      <c r="AX4" t="s">
        <v>381</v>
      </c>
      <c r="AY4" t="s">
        <v>382</v>
      </c>
    </row>
    <row r="5" spans="1:51" ht="28.5" x14ac:dyDescent="0.45">
      <c r="A5" s="70" t="s">
        <v>100</v>
      </c>
      <c r="B5" s="69" t="s">
        <v>251</v>
      </c>
      <c r="C5" s="70">
        <v>25</v>
      </c>
      <c r="D5" s="156">
        <v>14193</v>
      </c>
      <c r="E5" s="70" t="s">
        <v>240</v>
      </c>
      <c r="F5" s="95">
        <f>8.4/100</f>
        <v>8.4000000000000005E-2</v>
      </c>
      <c r="G5" s="95">
        <f>12.2/100</f>
        <v>0.122</v>
      </c>
      <c r="H5" s="95">
        <f>972328/100</f>
        <v>9723.2800000000007</v>
      </c>
      <c r="I5" s="95">
        <f>1429860/100</f>
        <v>14298.6</v>
      </c>
      <c r="J5" s="167">
        <f t="shared" ref="J5:J24" si="0">(I5-H5)/I5</f>
        <v>0.31998377463527894</v>
      </c>
      <c r="K5" s="156">
        <v>216</v>
      </c>
      <c r="L5" s="70" t="s">
        <v>241</v>
      </c>
      <c r="M5" s="95">
        <f>0.2/100</f>
        <v>2E-3</v>
      </c>
      <c r="N5" s="95">
        <f>0.3/100</f>
        <v>3.0000000000000001E-3</v>
      </c>
      <c r="O5" s="95">
        <v>80</v>
      </c>
      <c r="P5" s="164">
        <v>85</v>
      </c>
      <c r="Q5" s="95">
        <v>90</v>
      </c>
      <c r="R5" s="156">
        <f t="shared" ref="R5:R24" si="1">D5/(O5/100)</f>
        <v>17741.25</v>
      </c>
      <c r="S5" s="156">
        <f>D5/(P5/100)</f>
        <v>16697.647058823532</v>
      </c>
      <c r="T5" s="156">
        <f t="shared" ref="T5:T24" si="2">D5/(Q5/100)</f>
        <v>15770</v>
      </c>
      <c r="U5" s="168">
        <f>F5/(P5/100)</f>
        <v>9.8823529411764713E-2</v>
      </c>
      <c r="V5" s="156">
        <f>K5/(P5/100)</f>
        <v>254.11764705882354</v>
      </c>
      <c r="W5" s="168">
        <f>M5/(P5/100)</f>
        <v>2.3529411764705885E-3</v>
      </c>
      <c r="Y5">
        <v>0</v>
      </c>
    </row>
    <row r="6" spans="1:51" ht="28.5" x14ac:dyDescent="0.45">
      <c r="A6" s="70" t="s">
        <v>100</v>
      </c>
      <c r="B6" s="69" t="s">
        <v>107</v>
      </c>
      <c r="C6" s="70">
        <v>25</v>
      </c>
      <c r="D6" s="156">
        <v>14193</v>
      </c>
      <c r="E6" s="70" t="s">
        <v>240</v>
      </c>
      <c r="F6" s="95">
        <f>8.4/100</f>
        <v>8.4000000000000005E-2</v>
      </c>
      <c r="G6" s="95">
        <f>12.2/100</f>
        <v>0.122</v>
      </c>
      <c r="H6" s="95">
        <f>972328/100</f>
        <v>9723.2800000000007</v>
      </c>
      <c r="I6" s="95">
        <f>1429860/100</f>
        <v>14298.6</v>
      </c>
      <c r="J6" s="167">
        <f t="shared" si="0"/>
        <v>0.31998377463527894</v>
      </c>
      <c r="K6" s="156">
        <v>216</v>
      </c>
      <c r="L6" s="70" t="s">
        <v>241</v>
      </c>
      <c r="M6" s="95">
        <f>0.2/100</f>
        <v>2E-3</v>
      </c>
      <c r="N6" s="95">
        <f>0.3/100</f>
        <v>3.0000000000000001E-3</v>
      </c>
      <c r="O6" s="95">
        <v>70</v>
      </c>
      <c r="P6" s="164">
        <v>75</v>
      </c>
      <c r="Q6" s="95">
        <v>80</v>
      </c>
      <c r="R6" s="156">
        <f t="shared" si="1"/>
        <v>20275.714285714286</v>
      </c>
      <c r="S6" s="156">
        <f>D6/(P6/100)</f>
        <v>18924</v>
      </c>
      <c r="T6" s="156">
        <f t="shared" si="2"/>
        <v>17741.25</v>
      </c>
      <c r="U6" s="168">
        <f>F6/(P6/100)</f>
        <v>0.112</v>
      </c>
      <c r="V6" s="156">
        <f>K6/(P6/100)</f>
        <v>288</v>
      </c>
      <c r="W6" s="168">
        <f>M6/(P6/100)</f>
        <v>2.6666666666666666E-3</v>
      </c>
      <c r="Y6">
        <f>'[1]Regional Totals'!$D$1</f>
        <v>2361.8550000000005</v>
      </c>
      <c r="Z6" s="175">
        <f>Y6*K6</f>
        <v>510160.68000000011</v>
      </c>
      <c r="AA6">
        <f>Y6*M6</f>
        <v>4.7237100000000014</v>
      </c>
      <c r="AB6">
        <f>[1]UrbanBmpsSubmitted!$D$159+[1]UrbanBmpsSubmitted!$D$160</f>
        <v>222.31900000000002</v>
      </c>
      <c r="AC6" s="175">
        <f>AB6*K6</f>
        <v>48020.904000000002</v>
      </c>
      <c r="AD6">
        <f>AB6*M6</f>
        <v>0.44463800000000003</v>
      </c>
      <c r="AE6">
        <f>[1]UrbanBmpsSubmitted!$D$163+[1]UrbanBmpsSubmitted!$D$164+[1]UrbanBmpsSubmitted!$D$173+[1]UrbanBmpsSubmitted!$D$174</f>
        <v>576.01900000000001</v>
      </c>
      <c r="AF6" s="175">
        <f>AE6*K6</f>
        <v>124420.10400000001</v>
      </c>
      <c r="AG6">
        <f>AE6*M6</f>
        <v>1.1520380000000001</v>
      </c>
      <c r="AH6">
        <f>[1]UrbanBmpsSubmitted!$D$161+[1]UrbanBmpsSubmitted!$D$162</f>
        <v>445.18100000000004</v>
      </c>
      <c r="AI6" s="175">
        <f>AH6*K6</f>
        <v>96159.096000000005</v>
      </c>
      <c r="AJ6">
        <f>AH6*M6</f>
        <v>0.8903620000000001</v>
      </c>
      <c r="AK6">
        <f>[1]UrbanBmpsSubmitted!$D$171+[1]UrbanBmpsSubmitted!$D$172</f>
        <v>688.47900000000004</v>
      </c>
      <c r="AL6" s="175">
        <f>AK6*K6</f>
        <v>148711.46400000001</v>
      </c>
      <c r="AM6">
        <f>AK6*M6</f>
        <v>1.3769580000000001</v>
      </c>
      <c r="AN6">
        <f>[1]UrbanBmpsSubmitted!$D$169+[1]UrbanBmpsSubmitted!$D$170</f>
        <v>420.25300000000004</v>
      </c>
      <c r="AO6" s="175">
        <f>AN6*K6</f>
        <v>90774.648000000016</v>
      </c>
      <c r="AP6">
        <f>AN6*M6</f>
        <v>0.84050600000000009</v>
      </c>
      <c r="AQ6">
        <f>[1]UrbanBmpsSubmitted!$D$165+[1]UrbanBmpsSubmitted!$D$166+[1]UrbanBmpsSubmitted!$D$167+[1]UrbanBmpsSubmitted!$D$168</f>
        <v>9.604000000000001</v>
      </c>
      <c r="AT6">
        <f>'[1]Regulated Totals'!$B$3</f>
        <v>25.279</v>
      </c>
      <c r="AU6" s="175">
        <f>AT6*K6</f>
        <v>5460.2640000000001</v>
      </c>
      <c r="AV6">
        <f>M6*AT6</f>
        <v>5.0557999999999999E-2</v>
      </c>
      <c r="AW6">
        <f t="shared" ref="AW6:AW24" si="3">Y6-AT6</f>
        <v>2336.5760000000005</v>
      </c>
      <c r="AX6" s="175">
        <f>AW6*K6</f>
        <v>504700.41600000008</v>
      </c>
      <c r="AY6">
        <f>M6*AW6</f>
        <v>4.6731520000000009</v>
      </c>
    </row>
    <row r="7" spans="1:51" ht="28.5" x14ac:dyDescent="0.45">
      <c r="A7" s="70" t="s">
        <v>100</v>
      </c>
      <c r="B7" s="69" t="s">
        <v>244</v>
      </c>
      <c r="C7" s="70">
        <v>50</v>
      </c>
      <c r="D7" s="156">
        <v>12557</v>
      </c>
      <c r="E7" s="70" t="s">
        <v>240</v>
      </c>
      <c r="F7" s="95">
        <f>7.4/100</f>
        <v>7.400000000000001E-2</v>
      </c>
      <c r="G7" s="95">
        <f>10.8/100</f>
        <v>0.10800000000000001</v>
      </c>
      <c r="H7" s="95">
        <f>860249/100</f>
        <v>8602.49</v>
      </c>
      <c r="I7" s="95">
        <f>1265042/100</f>
        <v>12650.42</v>
      </c>
      <c r="J7" s="167">
        <f t="shared" si="0"/>
        <v>0.31998384243368999</v>
      </c>
      <c r="K7" s="156">
        <v>388</v>
      </c>
      <c r="L7" s="70" t="s">
        <v>241</v>
      </c>
      <c r="M7" s="95">
        <f>0.4/100</f>
        <v>4.0000000000000001E-3</v>
      </c>
      <c r="N7" s="95">
        <f>0.6/100</f>
        <v>6.0000000000000001E-3</v>
      </c>
      <c r="O7" s="95">
        <v>70</v>
      </c>
      <c r="P7" s="164">
        <v>75</v>
      </c>
      <c r="Q7" s="95">
        <v>80</v>
      </c>
      <c r="R7" s="156">
        <f t="shared" si="1"/>
        <v>17938.571428571431</v>
      </c>
      <c r="S7" s="156">
        <f>D7/(P7/100)</f>
        <v>16742.666666666668</v>
      </c>
      <c r="T7" s="156">
        <f t="shared" si="2"/>
        <v>15696.25</v>
      </c>
      <c r="U7" s="168">
        <f>F7/(P7/100)</f>
        <v>9.866666666666668E-2</v>
      </c>
      <c r="V7" s="156">
        <f>K7/(P7/100)</f>
        <v>517.33333333333337</v>
      </c>
      <c r="W7" s="168">
        <f>M7/(P7/100)</f>
        <v>5.3333333333333332E-3</v>
      </c>
      <c r="Y7">
        <f>'[1]Regional Totals'!$D$2</f>
        <v>18.835000000000001</v>
      </c>
      <c r="Z7" s="175">
        <f t="shared" ref="Z7:Z24" si="4">Y7*K7</f>
        <v>7307.9800000000005</v>
      </c>
      <c r="AA7">
        <f t="shared" ref="AA7:AA24" si="5">Y7*M7</f>
        <v>7.5340000000000004E-2</v>
      </c>
      <c r="AC7" s="175">
        <f t="shared" ref="AC7:AC24" si="6">AB7*K7</f>
        <v>0</v>
      </c>
      <c r="AD7">
        <f t="shared" ref="AD7:AD24" si="7">AB7*M7</f>
        <v>0</v>
      </c>
      <c r="AF7" s="175">
        <f t="shared" ref="AF7:AF24" si="8">AE7*K7</f>
        <v>0</v>
      </c>
      <c r="AG7">
        <f t="shared" ref="AG7:AG24" si="9">AE7*M7</f>
        <v>0</v>
      </c>
      <c r="AI7" s="175">
        <f t="shared" ref="AI7:AI24" si="10">AH7*K7</f>
        <v>0</v>
      </c>
      <c r="AJ7">
        <f t="shared" ref="AJ7:AJ24" si="11">AH7*M7</f>
        <v>0</v>
      </c>
      <c r="AL7" s="175">
        <f t="shared" ref="AL7:AL24" si="12">AK7*K7</f>
        <v>0</v>
      </c>
      <c r="AM7">
        <f t="shared" ref="AM7:AM24" si="13">AK7*M7</f>
        <v>0</v>
      </c>
      <c r="AO7" s="175">
        <f t="shared" ref="AO7:AO24" si="14">AN7*K7</f>
        <v>0</v>
      </c>
      <c r="AP7">
        <f t="shared" ref="AP7:AP24" si="15">AN7*M7</f>
        <v>0</v>
      </c>
      <c r="AT7">
        <f>'[1]Regulated Totals'!$B$4</f>
        <v>18.835000000000001</v>
      </c>
      <c r="AU7" s="175">
        <f t="shared" ref="AU7:AU24" si="16">AT7*K7</f>
        <v>7307.9800000000005</v>
      </c>
      <c r="AV7">
        <f t="shared" ref="AV7:AV24" si="17">M7*AT7</f>
        <v>7.5340000000000004E-2</v>
      </c>
      <c r="AW7">
        <f t="shared" si="3"/>
        <v>0</v>
      </c>
      <c r="AX7" s="175">
        <f t="shared" ref="AX7:AX24" si="18">AW7*K7</f>
        <v>0</v>
      </c>
      <c r="AY7">
        <f t="shared" ref="AY7:AY24" si="19">M7*AW7</f>
        <v>0</v>
      </c>
    </row>
    <row r="8" spans="1:51" s="170" customFormat="1" ht="28.5" x14ac:dyDescent="0.45">
      <c r="A8" s="185" t="s">
        <v>100</v>
      </c>
      <c r="B8" s="185" t="s">
        <v>117</v>
      </c>
      <c r="C8" s="185">
        <v>50</v>
      </c>
      <c r="D8" s="186">
        <v>10600</v>
      </c>
      <c r="E8" s="185" t="s">
        <v>240</v>
      </c>
      <c r="F8" s="187">
        <f>10.8/100</f>
        <v>0.10800000000000001</v>
      </c>
      <c r="G8" s="187">
        <f>15.1/100</f>
        <v>0.151</v>
      </c>
      <c r="H8" s="187">
        <f>1059999/100</f>
        <v>10599.99</v>
      </c>
      <c r="I8" s="187">
        <f>1565629/100</f>
        <v>15656.29</v>
      </c>
      <c r="J8" s="188">
        <f t="shared" si="0"/>
        <v>0.32295646031083997</v>
      </c>
      <c r="K8" s="186">
        <v>170</v>
      </c>
      <c r="L8" s="185" t="s">
        <v>241</v>
      </c>
      <c r="M8" s="187">
        <f>0.2/100</f>
        <v>2E-3</v>
      </c>
      <c r="N8" s="187">
        <f>0.3/100</f>
        <v>3.0000000000000001E-3</v>
      </c>
      <c r="O8" s="187">
        <v>5</v>
      </c>
      <c r="P8" s="169">
        <v>10</v>
      </c>
      <c r="Q8" s="187">
        <v>10</v>
      </c>
      <c r="R8" s="186">
        <f t="shared" si="1"/>
        <v>212000</v>
      </c>
      <c r="S8" s="186">
        <f>D8/(P8/100)</f>
        <v>106000</v>
      </c>
      <c r="T8" s="186">
        <f t="shared" si="2"/>
        <v>106000</v>
      </c>
      <c r="U8" s="189">
        <f>F8/(P8/100)</f>
        <v>1.08</v>
      </c>
      <c r="V8" s="186">
        <f>K8/(P8/100)</f>
        <v>1700</v>
      </c>
      <c r="W8" s="189">
        <f>M8/(P8/100)</f>
        <v>0.02</v>
      </c>
      <c r="Y8" s="170">
        <f>'[1]Regional Totals'!$D$3</f>
        <v>4784.1710000000003</v>
      </c>
      <c r="Z8" s="190">
        <f t="shared" si="4"/>
        <v>813309.07000000007</v>
      </c>
      <c r="AA8" s="170">
        <f t="shared" si="5"/>
        <v>9.5683420000000012</v>
      </c>
      <c r="AB8" s="170">
        <f>286.545+0.006+88.761</f>
        <v>375.31200000000001</v>
      </c>
      <c r="AC8" s="190">
        <f t="shared" si="6"/>
        <v>63803.040000000001</v>
      </c>
      <c r="AD8" s="170">
        <f t="shared" si="7"/>
        <v>0.75062400000000007</v>
      </c>
      <c r="AE8" s="170">
        <f>105.662+239.633+424.987+709.252</f>
        <v>1479.5340000000001</v>
      </c>
      <c r="AF8" s="190">
        <f t="shared" si="8"/>
        <v>251520.78000000003</v>
      </c>
      <c r="AG8" s="170">
        <f t="shared" si="9"/>
        <v>2.9590680000000003</v>
      </c>
      <c r="AH8" s="170">
        <f>158.803+588.846</f>
        <v>747.649</v>
      </c>
      <c r="AI8" s="190">
        <f t="shared" si="10"/>
        <v>127100.33</v>
      </c>
      <c r="AJ8" s="170">
        <f t="shared" si="11"/>
        <v>1.495298</v>
      </c>
      <c r="AK8" s="170">
        <f>280.507+882.897</f>
        <v>1163.404</v>
      </c>
      <c r="AL8" s="190">
        <f t="shared" si="12"/>
        <v>197778.68</v>
      </c>
      <c r="AM8" s="170">
        <f t="shared" si="13"/>
        <v>2.3268080000000002</v>
      </c>
      <c r="AN8" s="170">
        <f>181.916+530</f>
        <v>711.91599999999994</v>
      </c>
      <c r="AO8" s="190">
        <f t="shared" si="14"/>
        <v>121025.71999999999</v>
      </c>
      <c r="AP8" s="170">
        <f t="shared" si="15"/>
        <v>1.423832</v>
      </c>
      <c r="AQ8" s="170">
        <f>0.101+103.377+202.227+0.231</f>
        <v>305.93599999999998</v>
      </c>
      <c r="AT8" s="170">
        <f>'[1]Regulated Totals'!$B$6</f>
        <v>836.2589999999999</v>
      </c>
      <c r="AU8" s="190">
        <f t="shared" si="16"/>
        <v>142164.02999999997</v>
      </c>
      <c r="AV8" s="170">
        <f t="shared" si="17"/>
        <v>1.6725179999999997</v>
      </c>
      <c r="AW8" s="170">
        <f t="shared" si="3"/>
        <v>3947.9120000000003</v>
      </c>
      <c r="AX8" s="190">
        <f t="shared" si="18"/>
        <v>671145.04</v>
      </c>
      <c r="AY8" s="170">
        <f t="shared" si="19"/>
        <v>7.8958240000000011</v>
      </c>
    </row>
    <row r="9" spans="1:51" s="170" customFormat="1" ht="28.5" x14ac:dyDescent="0.45">
      <c r="A9" s="185" t="s">
        <v>100</v>
      </c>
      <c r="B9" s="185" t="s">
        <v>119</v>
      </c>
      <c r="C9" s="185">
        <v>50</v>
      </c>
      <c r="D9" s="186">
        <v>4743</v>
      </c>
      <c r="E9" s="185" t="s">
        <v>240</v>
      </c>
      <c r="F9" s="187">
        <f>2.8/100</f>
        <v>2.7999999999999997E-2</v>
      </c>
      <c r="G9" s="187">
        <f t="shared" ref="G9:G24" si="20">4.1/100</f>
        <v>4.0999999999999995E-2</v>
      </c>
      <c r="H9" s="187">
        <f>324865/100</f>
        <v>3248.65</v>
      </c>
      <c r="I9" s="187">
        <f>477728/100</f>
        <v>4777.28</v>
      </c>
      <c r="J9" s="188">
        <f t="shared" si="0"/>
        <v>0.31997915131623011</v>
      </c>
      <c r="K9" s="186">
        <v>67</v>
      </c>
      <c r="L9" s="185" t="s">
        <v>241</v>
      </c>
      <c r="M9" s="187">
        <f>0.1/100</f>
        <v>1E-3</v>
      </c>
      <c r="N9" s="187">
        <f>0.1/100</f>
        <v>1E-3</v>
      </c>
      <c r="O9" s="187">
        <v>20</v>
      </c>
      <c r="P9" s="169">
        <v>20</v>
      </c>
      <c r="Q9" s="187">
        <v>60</v>
      </c>
      <c r="R9" s="186">
        <f t="shared" si="1"/>
        <v>23715</v>
      </c>
      <c r="S9" s="186">
        <f>D9/(P9/100)</f>
        <v>23715</v>
      </c>
      <c r="T9" s="186">
        <f t="shared" si="2"/>
        <v>7905</v>
      </c>
      <c r="U9" s="189">
        <f>F9/(P9/100)</f>
        <v>0.13999999999999999</v>
      </c>
      <c r="V9" s="186">
        <f>K9/(P9/100)</f>
        <v>335</v>
      </c>
      <c r="W9" s="189">
        <f>M9/(P9/100)</f>
        <v>5.0000000000000001E-3</v>
      </c>
      <c r="Y9" s="170">
        <f>'[1]Regional Totals'!$D$4</f>
        <v>9647.7789999999986</v>
      </c>
      <c r="Z9" s="190">
        <f t="shared" si="4"/>
        <v>646401.19299999985</v>
      </c>
      <c r="AA9" s="170">
        <f t="shared" si="5"/>
        <v>9.6477789999999981</v>
      </c>
      <c r="AB9" s="170">
        <f>0.01+165.83+612.286</f>
        <v>778.12599999999998</v>
      </c>
      <c r="AC9" s="190">
        <f t="shared" si="6"/>
        <v>52134.441999999995</v>
      </c>
      <c r="AD9" s="170">
        <f t="shared" si="7"/>
        <v>0.77812599999999998</v>
      </c>
      <c r="AE9" s="170">
        <f>754.53+178.575+178.575+1515.525+447.712</f>
        <v>3074.9169999999999</v>
      </c>
      <c r="AF9" s="190">
        <f t="shared" si="8"/>
        <v>206019.43899999998</v>
      </c>
      <c r="AG9" s="170">
        <f t="shared" si="9"/>
        <v>3.0749170000000001</v>
      </c>
      <c r="AH9" s="170">
        <f>1258.242+296.699</f>
        <v>1554.941</v>
      </c>
      <c r="AI9" s="190">
        <f t="shared" si="10"/>
        <v>104181.04700000001</v>
      </c>
      <c r="AJ9" s="170">
        <f t="shared" si="11"/>
        <v>1.5549410000000001</v>
      </c>
      <c r="AK9" s="170">
        <f>1886.567+524.082</f>
        <v>2410.6489999999999</v>
      </c>
      <c r="AL9" s="190">
        <f t="shared" si="12"/>
        <v>161513.48299999998</v>
      </c>
      <c r="AM9" s="170">
        <f t="shared" si="13"/>
        <v>2.4106489999999998</v>
      </c>
      <c r="AN9" s="170">
        <f>1133.4+339.881</f>
        <v>1473.2809999999999</v>
      </c>
      <c r="AO9" s="190">
        <f t="shared" si="14"/>
        <v>98709.82699999999</v>
      </c>
      <c r="AP9" s="170">
        <f t="shared" si="15"/>
        <v>1.4732810000000001</v>
      </c>
      <c r="AQ9" s="170">
        <f>359+0.039+174.712+0.495+0.187</f>
        <v>534.43299999999999</v>
      </c>
      <c r="AT9" s="170">
        <f>'[1]Regulated Totals'!$B$7</f>
        <v>1466.8689999999999</v>
      </c>
      <c r="AU9" s="190">
        <f t="shared" si="16"/>
        <v>98280.222999999998</v>
      </c>
      <c r="AV9" s="170">
        <f t="shared" si="17"/>
        <v>1.466869</v>
      </c>
      <c r="AW9" s="170">
        <f t="shared" si="3"/>
        <v>8180.9099999999989</v>
      </c>
      <c r="AX9" s="190">
        <f t="shared" si="18"/>
        <v>548120.97</v>
      </c>
      <c r="AY9" s="170">
        <f t="shared" si="19"/>
        <v>8.180909999999999</v>
      </c>
    </row>
    <row r="10" spans="1:51" s="170" customFormat="1" x14ac:dyDescent="0.45">
      <c r="A10" s="185" t="s">
        <v>100</v>
      </c>
      <c r="B10" s="185" t="s">
        <v>236</v>
      </c>
      <c r="C10" s="185">
        <v>20</v>
      </c>
      <c r="D10" s="186">
        <v>101956</v>
      </c>
      <c r="E10" s="185" t="s">
        <v>230</v>
      </c>
      <c r="F10" s="187">
        <v>0.9</v>
      </c>
      <c r="G10" s="187">
        <f t="shared" si="20"/>
        <v>4.0999999999999995E-2</v>
      </c>
      <c r="H10" s="187">
        <v>89577</v>
      </c>
      <c r="I10" s="185">
        <v>132598</v>
      </c>
      <c r="J10" s="188">
        <f t="shared" si="0"/>
        <v>0.32444682423565968</v>
      </c>
      <c r="K10" s="186">
        <v>3610</v>
      </c>
      <c r="L10" s="185" t="s">
        <v>237</v>
      </c>
      <c r="M10" s="187">
        <f>4.1/100</f>
        <v>4.0999999999999995E-2</v>
      </c>
      <c r="N10" s="187">
        <f>5.4/100</f>
        <v>5.4000000000000006E-2</v>
      </c>
      <c r="O10" s="187" t="s">
        <v>357</v>
      </c>
      <c r="P10" s="169" t="s">
        <v>365</v>
      </c>
      <c r="Q10" s="187" t="s">
        <v>357</v>
      </c>
      <c r="R10" s="186" t="e">
        <f t="shared" si="1"/>
        <v>#VALUE!</v>
      </c>
      <c r="S10" s="186" t="s">
        <v>348</v>
      </c>
      <c r="T10" s="186" t="e">
        <f t="shared" si="2"/>
        <v>#VALUE!</v>
      </c>
      <c r="U10" s="189" t="s">
        <v>348</v>
      </c>
      <c r="V10" s="186" t="s">
        <v>348</v>
      </c>
      <c r="W10" s="189" t="s">
        <v>348</v>
      </c>
      <c r="Y10" s="170">
        <f>'[1]Regional Totals'!$D$6</f>
        <v>1505.3120000000001</v>
      </c>
      <c r="Z10" s="190">
        <f t="shared" si="4"/>
        <v>5434176.3200000003</v>
      </c>
      <c r="AA10" s="170">
        <f t="shared" si="5"/>
        <v>61.717791999999996</v>
      </c>
      <c r="AB10" s="170">
        <v>125.672</v>
      </c>
      <c r="AC10" s="190">
        <f t="shared" si="6"/>
        <v>453675.92</v>
      </c>
      <c r="AD10" s="170">
        <f t="shared" si="7"/>
        <v>5.1525519999999991</v>
      </c>
      <c r="AE10" s="170">
        <f>81.198+339.285</f>
        <v>420.483</v>
      </c>
      <c r="AF10" s="190">
        <f t="shared" si="8"/>
        <v>1517943.6300000001</v>
      </c>
      <c r="AG10" s="170">
        <f t="shared" si="9"/>
        <v>17.239802999999998</v>
      </c>
      <c r="AH10" s="170">
        <f>224.844</f>
        <v>224.84399999999999</v>
      </c>
      <c r="AI10" s="190">
        <f t="shared" si="10"/>
        <v>811686.84</v>
      </c>
      <c r="AJ10" s="170">
        <f t="shared" si="11"/>
        <v>9.2186039999999991</v>
      </c>
      <c r="AK10" s="170">
        <v>397.16</v>
      </c>
      <c r="AL10" s="190">
        <f t="shared" si="12"/>
        <v>1433747.6</v>
      </c>
      <c r="AM10" s="170">
        <f t="shared" si="13"/>
        <v>16.283559999999998</v>
      </c>
      <c r="AN10" s="170">
        <f>257.57</f>
        <v>257.57</v>
      </c>
      <c r="AO10" s="190">
        <f t="shared" si="14"/>
        <v>929827.7</v>
      </c>
      <c r="AP10" s="170">
        <f t="shared" si="15"/>
        <v>10.560369999999999</v>
      </c>
      <c r="AQ10" s="170">
        <f>0.142+79.441</f>
        <v>79.582999999999998</v>
      </c>
      <c r="AT10" s="170">
        <f>'[1]Regulated Totals'!$B$10</f>
        <v>160.63900000000001</v>
      </c>
      <c r="AU10" s="190">
        <f t="shared" si="16"/>
        <v>579906.79</v>
      </c>
      <c r="AV10" s="170">
        <f t="shared" si="17"/>
        <v>6.5861989999999997</v>
      </c>
      <c r="AW10" s="170">
        <f t="shared" si="3"/>
        <v>1344.6730000000002</v>
      </c>
      <c r="AX10" s="190">
        <f t="shared" si="18"/>
        <v>4854269.5300000012</v>
      </c>
      <c r="AY10" s="170">
        <f t="shared" si="19"/>
        <v>55.131593000000002</v>
      </c>
    </row>
    <row r="11" spans="1:51" ht="28.5" x14ac:dyDescent="0.45">
      <c r="A11" s="70" t="s">
        <v>100</v>
      </c>
      <c r="B11" s="69" t="s">
        <v>245</v>
      </c>
      <c r="C11" s="70">
        <v>20</v>
      </c>
      <c r="D11" s="156">
        <v>101956</v>
      </c>
      <c r="E11" s="70" t="s">
        <v>246</v>
      </c>
      <c r="F11" s="95">
        <v>0.9</v>
      </c>
      <c r="G11" s="95">
        <f t="shared" si="20"/>
        <v>4.0999999999999995E-2</v>
      </c>
      <c r="H11" s="70">
        <v>89577</v>
      </c>
      <c r="I11" s="70">
        <v>132598</v>
      </c>
      <c r="J11" s="167">
        <f t="shared" si="0"/>
        <v>0.32444682423565968</v>
      </c>
      <c r="K11" s="156">
        <v>3610</v>
      </c>
      <c r="L11" s="70" t="s">
        <v>241</v>
      </c>
      <c r="M11" s="70">
        <v>4.1000000000000002E-2</v>
      </c>
      <c r="N11" s="70">
        <v>5.3999999999999999E-2</v>
      </c>
      <c r="O11" s="95">
        <v>75</v>
      </c>
      <c r="P11" s="164">
        <v>80</v>
      </c>
      <c r="Q11" s="95">
        <v>85</v>
      </c>
      <c r="R11" s="156">
        <f t="shared" si="1"/>
        <v>135941.33333333334</v>
      </c>
      <c r="S11" s="156">
        <f>D11/(P11/100)</f>
        <v>127445</v>
      </c>
      <c r="T11" s="156">
        <f t="shared" si="2"/>
        <v>119948.23529411765</v>
      </c>
      <c r="U11" s="168">
        <f>F11/(P11/100)</f>
        <v>1.125</v>
      </c>
      <c r="V11" s="156">
        <f>K11/(P11/100)</f>
        <v>4512.5</v>
      </c>
      <c r="W11" s="168">
        <f>M11/(P11/100)</f>
        <v>5.1249999999999997E-2</v>
      </c>
      <c r="Y11">
        <f>'[1]Regional Totals'!$D$7</f>
        <v>4.1099999999999994</v>
      </c>
      <c r="Z11" s="175">
        <f t="shared" si="4"/>
        <v>14837.099999999999</v>
      </c>
      <c r="AA11">
        <f t="shared" si="5"/>
        <v>0.16850999999999999</v>
      </c>
      <c r="AC11" s="175">
        <f t="shared" si="6"/>
        <v>0</v>
      </c>
      <c r="AD11">
        <f t="shared" si="7"/>
        <v>0</v>
      </c>
      <c r="AF11" s="175">
        <f t="shared" si="8"/>
        <v>0</v>
      </c>
      <c r="AG11">
        <f t="shared" si="9"/>
        <v>0</v>
      </c>
      <c r="AI11" s="175">
        <f t="shared" si="10"/>
        <v>0</v>
      </c>
      <c r="AJ11">
        <f t="shared" si="11"/>
        <v>0</v>
      </c>
      <c r="AL11" s="175">
        <f t="shared" si="12"/>
        <v>0</v>
      </c>
      <c r="AM11">
        <f t="shared" si="13"/>
        <v>0</v>
      </c>
      <c r="AO11" s="175">
        <f t="shared" si="14"/>
        <v>0</v>
      </c>
      <c r="AP11">
        <f t="shared" si="15"/>
        <v>0</v>
      </c>
      <c r="AT11">
        <f>'[1]Regulated Totals'!$B$11</f>
        <v>0.20400000000000001</v>
      </c>
      <c r="AU11" s="175">
        <f t="shared" si="16"/>
        <v>736.44</v>
      </c>
      <c r="AV11">
        <f t="shared" si="17"/>
        <v>8.3640000000000016E-3</v>
      </c>
      <c r="AW11">
        <f t="shared" si="3"/>
        <v>3.9059999999999993</v>
      </c>
      <c r="AX11" s="175">
        <f t="shared" si="18"/>
        <v>14100.659999999998</v>
      </c>
      <c r="AY11">
        <f t="shared" si="19"/>
        <v>0.16014599999999998</v>
      </c>
    </row>
    <row r="12" spans="1:51" ht="28.5" x14ac:dyDescent="0.45">
      <c r="A12" s="70" t="s">
        <v>100</v>
      </c>
      <c r="B12" s="69" t="s">
        <v>250</v>
      </c>
      <c r="C12" s="70">
        <v>20</v>
      </c>
      <c r="D12" s="156">
        <v>101956</v>
      </c>
      <c r="E12" s="70" t="s">
        <v>246</v>
      </c>
      <c r="F12" s="95">
        <v>0.9</v>
      </c>
      <c r="G12" s="95">
        <f t="shared" si="20"/>
        <v>4.0999999999999995E-2</v>
      </c>
      <c r="H12" s="70">
        <v>89577</v>
      </c>
      <c r="I12" s="70">
        <v>132598</v>
      </c>
      <c r="J12" s="167">
        <f t="shared" si="0"/>
        <v>0.32444682423565968</v>
      </c>
      <c r="K12" s="156">
        <v>3610</v>
      </c>
      <c r="L12" s="70" t="s">
        <v>241</v>
      </c>
      <c r="M12" s="70">
        <v>4.1000000000000002E-2</v>
      </c>
      <c r="N12" s="70">
        <v>5.3999999999999999E-2</v>
      </c>
      <c r="O12" s="95"/>
      <c r="P12" s="164"/>
      <c r="Q12" s="95"/>
      <c r="R12" s="156" t="e">
        <f t="shared" si="1"/>
        <v>#DIV/0!</v>
      </c>
      <c r="S12" s="156" t="e">
        <f>D12/(P12/100)</f>
        <v>#DIV/0!</v>
      </c>
      <c r="T12" s="156" t="e">
        <f t="shared" si="2"/>
        <v>#DIV/0!</v>
      </c>
      <c r="U12" s="168" t="e">
        <f>F12/(P12/100)</f>
        <v>#DIV/0!</v>
      </c>
      <c r="V12" s="156" t="e">
        <f>K12/(P12/100)</f>
        <v>#DIV/0!</v>
      </c>
      <c r="W12" s="168" t="e">
        <f>M12/(P12/100)</f>
        <v>#DIV/0!</v>
      </c>
      <c r="Z12" s="175">
        <f t="shared" si="4"/>
        <v>0</v>
      </c>
      <c r="AA12">
        <f t="shared" si="5"/>
        <v>0</v>
      </c>
      <c r="AC12" s="175">
        <f t="shared" si="6"/>
        <v>0</v>
      </c>
      <c r="AD12">
        <f t="shared" si="7"/>
        <v>0</v>
      </c>
      <c r="AF12" s="175">
        <f t="shared" si="8"/>
        <v>0</v>
      </c>
      <c r="AG12">
        <f t="shared" si="9"/>
        <v>0</v>
      </c>
      <c r="AI12" s="175">
        <f t="shared" si="10"/>
        <v>0</v>
      </c>
      <c r="AJ12">
        <f t="shared" si="11"/>
        <v>0</v>
      </c>
      <c r="AL12" s="175">
        <f t="shared" si="12"/>
        <v>0</v>
      </c>
      <c r="AM12">
        <f t="shared" si="13"/>
        <v>0</v>
      </c>
      <c r="AO12" s="175">
        <f t="shared" si="14"/>
        <v>0</v>
      </c>
      <c r="AP12">
        <f t="shared" si="15"/>
        <v>0</v>
      </c>
      <c r="AU12" s="175">
        <f t="shared" si="16"/>
        <v>0</v>
      </c>
      <c r="AV12">
        <f t="shared" si="17"/>
        <v>0</v>
      </c>
      <c r="AW12">
        <f t="shared" si="3"/>
        <v>0</v>
      </c>
      <c r="AX12" s="175">
        <f t="shared" si="18"/>
        <v>0</v>
      </c>
      <c r="AY12">
        <f t="shared" si="19"/>
        <v>0</v>
      </c>
    </row>
    <row r="13" spans="1:51" x14ac:dyDescent="0.45">
      <c r="A13" s="70" t="s">
        <v>100</v>
      </c>
      <c r="B13" s="69" t="s">
        <v>256</v>
      </c>
      <c r="C13" s="70">
        <v>20</v>
      </c>
      <c r="D13" s="156">
        <v>6049</v>
      </c>
      <c r="E13" s="70" t="s">
        <v>230</v>
      </c>
      <c r="F13" s="95"/>
      <c r="G13" s="95">
        <f t="shared" si="20"/>
        <v>4.0999999999999995E-2</v>
      </c>
      <c r="H13" s="95"/>
      <c r="I13" s="95"/>
      <c r="J13" s="167" t="e">
        <f t="shared" si="0"/>
        <v>#DIV/0!</v>
      </c>
      <c r="K13" s="156">
        <v>430.69</v>
      </c>
      <c r="L13" s="70" t="s">
        <v>231</v>
      </c>
      <c r="M13" s="95">
        <f>0.3/100</f>
        <v>3.0000000000000001E-3</v>
      </c>
      <c r="N13" s="95">
        <f>0.4/100</f>
        <v>4.0000000000000001E-3</v>
      </c>
      <c r="O13" s="95"/>
      <c r="P13" s="164"/>
      <c r="Q13" s="95"/>
      <c r="R13" s="156" t="e">
        <f t="shared" si="1"/>
        <v>#DIV/0!</v>
      </c>
      <c r="S13" s="156" t="s">
        <v>348</v>
      </c>
      <c r="T13" s="156" t="e">
        <f t="shared" si="2"/>
        <v>#DIV/0!</v>
      </c>
      <c r="U13" s="168" t="s">
        <v>348</v>
      </c>
      <c r="V13" s="156" t="s">
        <v>348</v>
      </c>
      <c r="W13" s="168" t="s">
        <v>348</v>
      </c>
      <c r="Y13">
        <f>'[1]Regional Totals'!$D$9</f>
        <v>1148.896</v>
      </c>
      <c r="Z13" s="175">
        <f t="shared" si="4"/>
        <v>494818.01824</v>
      </c>
      <c r="AA13">
        <f t="shared" si="5"/>
        <v>3.446688</v>
      </c>
      <c r="AB13">
        <f>[1]UrbanBmpsSubmitted!$D$138</f>
        <v>88.21</v>
      </c>
      <c r="AC13" s="175">
        <f t="shared" si="6"/>
        <v>37991.164899999996</v>
      </c>
      <c r="AD13">
        <f t="shared" si="7"/>
        <v>0.26462999999999998</v>
      </c>
      <c r="AE13">
        <f>[1]UrbanBmpsSubmitted!$D$139+[1]UrbanBmpsSubmitted!$D$140</f>
        <v>341.798</v>
      </c>
      <c r="AF13" s="175">
        <f t="shared" si="8"/>
        <v>147208.98061999999</v>
      </c>
      <c r="AG13">
        <f t="shared" si="9"/>
        <v>1.0253939999999999</v>
      </c>
      <c r="AH13">
        <f>[1]UrbanBmpsSubmitted!$D$141</f>
        <v>157.821</v>
      </c>
      <c r="AI13" s="175">
        <f t="shared" si="10"/>
        <v>67971.926489999998</v>
      </c>
      <c r="AJ13">
        <f t="shared" si="11"/>
        <v>0.47346300000000002</v>
      </c>
      <c r="AK13">
        <f>[1]UrbanBmpsSubmitted!$D$142</f>
        <v>278.76900000000001</v>
      </c>
      <c r="AL13" s="175">
        <f t="shared" si="12"/>
        <v>120063.02061000001</v>
      </c>
      <c r="AM13">
        <f t="shared" si="13"/>
        <v>0.83630700000000002</v>
      </c>
      <c r="AN13">
        <f>[1]UrbanBmpsSubmitted!$D$143</f>
        <v>180.78899999999999</v>
      </c>
      <c r="AO13" s="175">
        <f t="shared" si="14"/>
        <v>77864.014409999989</v>
      </c>
      <c r="AP13">
        <f t="shared" si="15"/>
        <v>0.54236699999999993</v>
      </c>
      <c r="AQ13">
        <f>[1]UrbanBmpsSubmitted!$D$144+[1]UrbanBmpsSubmitted!$D$145</f>
        <v>101.509</v>
      </c>
      <c r="AT13">
        <f>'[1]Regulated Totals'!$B$12</f>
        <v>205.06200000000001</v>
      </c>
      <c r="AU13" s="175">
        <f t="shared" si="16"/>
        <v>88318.152780000004</v>
      </c>
      <c r="AV13">
        <f t="shared" si="17"/>
        <v>0.61518600000000001</v>
      </c>
      <c r="AW13">
        <f t="shared" si="3"/>
        <v>943.83399999999995</v>
      </c>
      <c r="AX13" s="175">
        <f t="shared" si="18"/>
        <v>406499.86546</v>
      </c>
      <c r="AY13">
        <f t="shared" si="19"/>
        <v>2.831502</v>
      </c>
    </row>
    <row r="14" spans="1:51" ht="28.5" x14ac:dyDescent="0.45">
      <c r="A14" s="70" t="s">
        <v>100</v>
      </c>
      <c r="B14" s="69" t="s">
        <v>124</v>
      </c>
      <c r="C14" s="70">
        <v>25</v>
      </c>
      <c r="D14" s="156">
        <v>20021</v>
      </c>
      <c r="E14" s="70" t="s">
        <v>240</v>
      </c>
      <c r="F14" s="95">
        <f>9.7/100</f>
        <v>9.6999999999999989E-2</v>
      </c>
      <c r="G14" s="95">
        <f t="shared" si="20"/>
        <v>4.0999999999999995E-2</v>
      </c>
      <c r="H14" s="95"/>
      <c r="I14" s="95"/>
      <c r="J14" s="167" t="e">
        <f t="shared" si="0"/>
        <v>#DIV/0!</v>
      </c>
      <c r="K14" s="156">
        <v>773</v>
      </c>
      <c r="L14" s="70" t="s">
        <v>241</v>
      </c>
      <c r="M14" s="95">
        <f>0.9/100</f>
        <v>9.0000000000000011E-3</v>
      </c>
      <c r="N14" s="95">
        <f>1.1/100</f>
        <v>1.1000000000000001E-2</v>
      </c>
      <c r="O14" s="95">
        <v>40</v>
      </c>
      <c r="P14" s="164">
        <v>60</v>
      </c>
      <c r="Q14" s="95">
        <v>80</v>
      </c>
      <c r="R14" s="156">
        <f t="shared" si="1"/>
        <v>50052.5</v>
      </c>
      <c r="S14" s="156">
        <f>D14/(P14/100)</f>
        <v>33368.333333333336</v>
      </c>
      <c r="T14" s="156">
        <f t="shared" si="2"/>
        <v>25026.25</v>
      </c>
      <c r="U14" s="168">
        <f>F14/(P14/100)</f>
        <v>0.16166666666666665</v>
      </c>
      <c r="V14" s="156">
        <f>K14/(P14/100)</f>
        <v>1288.3333333333335</v>
      </c>
      <c r="W14" s="168">
        <f>M14/(P14/100)</f>
        <v>1.5000000000000003E-2</v>
      </c>
      <c r="Y14">
        <f>'[1]Regional Totals'!$D$10</f>
        <v>4226.8500000000004</v>
      </c>
      <c r="Z14" s="175">
        <f t="shared" si="4"/>
        <v>3267355.0500000003</v>
      </c>
      <c r="AA14">
        <f t="shared" si="5"/>
        <v>38.041650000000004</v>
      </c>
      <c r="AB14">
        <f>-0.004+251.139+98.923</f>
        <v>350.05799999999999</v>
      </c>
      <c r="AC14" s="175">
        <f t="shared" si="6"/>
        <v>270594.83399999997</v>
      </c>
      <c r="AD14">
        <f t="shared" si="7"/>
        <v>3.1505220000000005</v>
      </c>
      <c r="AE14">
        <f>266.054+74.813+621.616+267.067</f>
        <v>1229.55</v>
      </c>
      <c r="AF14" s="175">
        <f t="shared" si="8"/>
        <v>950442.14999999991</v>
      </c>
      <c r="AG14">
        <f t="shared" si="9"/>
        <v>11.065950000000001</v>
      </c>
      <c r="AH14">
        <f>516.087+176.986</f>
        <v>693.07299999999998</v>
      </c>
      <c r="AI14" s="175">
        <f t="shared" si="10"/>
        <v>535745.429</v>
      </c>
      <c r="AJ14">
        <f t="shared" si="11"/>
        <v>6.2376570000000005</v>
      </c>
      <c r="AK14">
        <f>773.804+312.623</f>
        <v>1086.4269999999999</v>
      </c>
      <c r="AL14" s="175">
        <f t="shared" si="12"/>
        <v>839808.07099999988</v>
      </c>
      <c r="AM14">
        <f t="shared" si="13"/>
        <v>9.7778430000000007</v>
      </c>
      <c r="AN14">
        <f>464.881+202.744</f>
        <v>667.625</v>
      </c>
      <c r="AO14" s="175">
        <f t="shared" si="14"/>
        <v>516074.125</v>
      </c>
      <c r="AP14">
        <f t="shared" si="15"/>
        <v>6.0086250000000003</v>
      </c>
      <c r="AQ14">
        <f>0.112+0.203+126.599+73.195</f>
        <v>200.10899999999998</v>
      </c>
      <c r="AT14">
        <f>'[1]Regulated Totals'!$B$13</f>
        <v>540.66499999999996</v>
      </c>
      <c r="AU14" s="175">
        <f t="shared" si="16"/>
        <v>417934.04499999998</v>
      </c>
      <c r="AV14">
        <f t="shared" si="17"/>
        <v>4.8659850000000002</v>
      </c>
      <c r="AW14">
        <f t="shared" si="3"/>
        <v>3686.1850000000004</v>
      </c>
      <c r="AX14" s="175">
        <f t="shared" si="18"/>
        <v>2849421.0050000004</v>
      </c>
      <c r="AY14">
        <f t="shared" si="19"/>
        <v>33.175665000000009</v>
      </c>
    </row>
    <row r="15" spans="1:51" x14ac:dyDescent="0.45">
      <c r="A15" s="70" t="s">
        <v>100</v>
      </c>
      <c r="B15" s="69" t="s">
        <v>126</v>
      </c>
      <c r="C15" s="70">
        <v>75</v>
      </c>
      <c r="D15" s="156">
        <v>683.38</v>
      </c>
      <c r="E15" s="70" t="s">
        <v>230</v>
      </c>
      <c r="F15" s="95">
        <f>0.9/100</f>
        <v>9.0000000000000011E-3</v>
      </c>
      <c r="G15" s="95">
        <f t="shared" si="20"/>
        <v>4.0999999999999995E-2</v>
      </c>
      <c r="H15" s="95"/>
      <c r="I15" s="95"/>
      <c r="J15" s="167" t="e">
        <f t="shared" si="0"/>
        <v>#DIV/0!</v>
      </c>
      <c r="K15" s="156">
        <v>0</v>
      </c>
      <c r="L15" s="70" t="s">
        <v>231</v>
      </c>
      <c r="M15" s="95"/>
      <c r="N15" s="95"/>
      <c r="O15" s="95">
        <v>25</v>
      </c>
      <c r="P15" s="164">
        <v>50</v>
      </c>
      <c r="Q15" s="95">
        <v>50</v>
      </c>
      <c r="R15" s="156">
        <f t="shared" si="1"/>
        <v>2733.52</v>
      </c>
      <c r="S15" s="156">
        <f>D15/(P15/100)</f>
        <v>1366.76</v>
      </c>
      <c r="T15" s="156">
        <f t="shared" si="2"/>
        <v>1366.76</v>
      </c>
      <c r="U15" s="168">
        <f>F15/(P15/100)</f>
        <v>1.8000000000000002E-2</v>
      </c>
      <c r="V15" s="156">
        <f>K15/(P15/100)</f>
        <v>0</v>
      </c>
      <c r="W15" s="168">
        <f>M15/(P15/100)</f>
        <v>0</v>
      </c>
      <c r="Y15">
        <f>'[1]Regional Totals'!$D$11</f>
        <v>340.43899999999996</v>
      </c>
      <c r="Z15" s="175">
        <f t="shared" si="4"/>
        <v>0</v>
      </c>
      <c r="AA15">
        <f t="shared" si="5"/>
        <v>0</v>
      </c>
      <c r="AB15">
        <v>30.195</v>
      </c>
      <c r="AC15" s="175">
        <f t="shared" si="6"/>
        <v>0</v>
      </c>
      <c r="AD15">
        <f t="shared" si="7"/>
        <v>0</v>
      </c>
      <c r="AE15">
        <f>16.602+74.738</f>
        <v>91.34</v>
      </c>
      <c r="AF15" s="175">
        <f t="shared" si="8"/>
        <v>0</v>
      </c>
      <c r="AG15">
        <f t="shared" si="9"/>
        <v>0</v>
      </c>
      <c r="AH15">
        <f>62.05</f>
        <v>62.05</v>
      </c>
      <c r="AI15" s="175">
        <f t="shared" si="10"/>
        <v>0</v>
      </c>
      <c r="AJ15">
        <f t="shared" si="11"/>
        <v>0</v>
      </c>
      <c r="AK15">
        <f>93.036</f>
        <v>93.036000000000001</v>
      </c>
      <c r="AL15" s="175">
        <f t="shared" si="12"/>
        <v>0</v>
      </c>
      <c r="AM15">
        <f t="shared" si="13"/>
        <v>0</v>
      </c>
      <c r="AN15">
        <f>55.894</f>
        <v>55.893999999999998</v>
      </c>
      <c r="AO15" s="175">
        <f t="shared" si="14"/>
        <v>0</v>
      </c>
      <c r="AP15">
        <f t="shared" si="15"/>
        <v>0</v>
      </c>
      <c r="AQ15">
        <f>7.9+0.024</f>
        <v>7.9240000000000004</v>
      </c>
      <c r="AT15">
        <f>'[1]Regulated Totals'!$B$14</f>
        <v>24.502000000000002</v>
      </c>
      <c r="AU15" s="175">
        <f t="shared" si="16"/>
        <v>0</v>
      </c>
      <c r="AV15">
        <f t="shared" si="17"/>
        <v>0</v>
      </c>
      <c r="AW15">
        <f t="shared" si="3"/>
        <v>315.93699999999995</v>
      </c>
      <c r="AX15" s="175">
        <f t="shared" si="18"/>
        <v>0</v>
      </c>
      <c r="AY15">
        <f t="shared" si="19"/>
        <v>0</v>
      </c>
    </row>
    <row r="16" spans="1:51" x14ac:dyDescent="0.45">
      <c r="A16" s="70" t="s">
        <v>100</v>
      </c>
      <c r="B16" s="69" t="s">
        <v>238</v>
      </c>
      <c r="C16" s="70">
        <v>10</v>
      </c>
      <c r="D16" s="156">
        <v>346.67</v>
      </c>
      <c r="E16" s="70" t="s">
        <v>230</v>
      </c>
      <c r="F16" s="95">
        <f>0.4/100</f>
        <v>4.0000000000000001E-3</v>
      </c>
      <c r="G16" s="95">
        <f t="shared" si="20"/>
        <v>4.0999999999999995E-2</v>
      </c>
      <c r="H16" s="95"/>
      <c r="I16" s="95"/>
      <c r="J16" s="167" t="e">
        <f t="shared" si="0"/>
        <v>#DIV/0!</v>
      </c>
      <c r="K16" s="156">
        <v>0</v>
      </c>
      <c r="L16" s="70" t="s">
        <v>231</v>
      </c>
      <c r="M16" s="95"/>
      <c r="N16" s="95"/>
      <c r="O16" s="95">
        <v>25</v>
      </c>
      <c r="P16" s="164">
        <v>50</v>
      </c>
      <c r="Q16" s="95">
        <v>50</v>
      </c>
      <c r="R16" s="156">
        <f t="shared" si="1"/>
        <v>1386.68</v>
      </c>
      <c r="S16" s="156">
        <f>D16/(P16/100)</f>
        <v>693.34</v>
      </c>
      <c r="T16" s="156">
        <f t="shared" si="2"/>
        <v>693.34</v>
      </c>
      <c r="U16" s="168">
        <f>F16/(P16/100)</f>
        <v>8.0000000000000002E-3</v>
      </c>
      <c r="V16" s="156">
        <f>K16/(P16/100)</f>
        <v>0</v>
      </c>
      <c r="W16" s="168">
        <f>M16/(P16/100)</f>
        <v>0</v>
      </c>
      <c r="Y16">
        <v>0</v>
      </c>
      <c r="Z16" s="175">
        <f t="shared" si="4"/>
        <v>0</v>
      </c>
      <c r="AA16">
        <f t="shared" si="5"/>
        <v>0</v>
      </c>
      <c r="AC16" s="175">
        <f t="shared" si="6"/>
        <v>0</v>
      </c>
      <c r="AD16">
        <f t="shared" si="7"/>
        <v>0</v>
      </c>
      <c r="AF16" s="175">
        <f t="shared" si="8"/>
        <v>0</v>
      </c>
      <c r="AG16">
        <f t="shared" si="9"/>
        <v>0</v>
      </c>
      <c r="AI16" s="175">
        <f t="shared" si="10"/>
        <v>0</v>
      </c>
      <c r="AJ16">
        <f t="shared" si="11"/>
        <v>0</v>
      </c>
      <c r="AL16" s="175">
        <f t="shared" si="12"/>
        <v>0</v>
      </c>
      <c r="AM16">
        <f t="shared" si="13"/>
        <v>0</v>
      </c>
      <c r="AO16" s="175">
        <f t="shared" si="14"/>
        <v>0</v>
      </c>
      <c r="AP16">
        <f t="shared" si="15"/>
        <v>0</v>
      </c>
      <c r="AT16">
        <v>0</v>
      </c>
      <c r="AU16" s="175">
        <f t="shared" si="16"/>
        <v>0</v>
      </c>
      <c r="AV16">
        <f t="shared" si="17"/>
        <v>0</v>
      </c>
      <c r="AW16">
        <f t="shared" si="3"/>
        <v>0</v>
      </c>
      <c r="AX16" s="175">
        <f t="shared" si="18"/>
        <v>0</v>
      </c>
      <c r="AY16">
        <f t="shared" si="19"/>
        <v>0</v>
      </c>
    </row>
    <row r="17" spans="1:51" ht="28.5" x14ac:dyDescent="0.45">
      <c r="A17" s="70" t="s">
        <v>100</v>
      </c>
      <c r="B17" s="69" t="s">
        <v>243</v>
      </c>
      <c r="C17" s="70">
        <v>50</v>
      </c>
      <c r="D17" s="156">
        <v>16415</v>
      </c>
      <c r="E17" s="70" t="s">
        <v>240</v>
      </c>
      <c r="F17" s="95">
        <f>9.7/100</f>
        <v>9.6999999999999989E-2</v>
      </c>
      <c r="G17" s="95">
        <f t="shared" si="20"/>
        <v>4.0999999999999995E-2</v>
      </c>
      <c r="H17" s="95"/>
      <c r="I17" s="95"/>
      <c r="J17" s="167" t="e">
        <f t="shared" si="0"/>
        <v>#DIV/0!</v>
      </c>
      <c r="K17" s="156">
        <v>345</v>
      </c>
      <c r="L17" s="70" t="s">
        <v>241</v>
      </c>
      <c r="M17" s="95">
        <f>0.4/100</f>
        <v>4.0000000000000001E-3</v>
      </c>
      <c r="N17" s="95">
        <f>0.5/100</f>
        <v>5.0000000000000001E-3</v>
      </c>
      <c r="O17" s="95">
        <v>45</v>
      </c>
      <c r="P17" s="164">
        <v>50</v>
      </c>
      <c r="Q17" s="95">
        <v>70</v>
      </c>
      <c r="R17" s="156">
        <f t="shared" si="1"/>
        <v>36477.777777777774</v>
      </c>
      <c r="S17" s="156">
        <f>D17/(P17/100)</f>
        <v>32830</v>
      </c>
      <c r="T17" s="156">
        <f t="shared" si="2"/>
        <v>23450</v>
      </c>
      <c r="U17" s="168">
        <f>F17/(P17/100)</f>
        <v>0.19399999999999998</v>
      </c>
      <c r="V17" s="156">
        <f>K17/(P17/100)</f>
        <v>690</v>
      </c>
      <c r="W17" s="168">
        <f>M17/(P17/100)</f>
        <v>8.0000000000000002E-3</v>
      </c>
      <c r="Z17" s="175">
        <f>Y18*K17</f>
        <v>1588397.5949999997</v>
      </c>
      <c r="AA17">
        <f>Y18*M17</f>
        <v>18.416203999999997</v>
      </c>
      <c r="AC17" s="175">
        <f t="shared" si="6"/>
        <v>0</v>
      </c>
      <c r="AD17">
        <f t="shared" si="7"/>
        <v>0</v>
      </c>
      <c r="AF17" s="175">
        <f t="shared" si="8"/>
        <v>0</v>
      </c>
      <c r="AG17">
        <f t="shared" si="9"/>
        <v>0</v>
      </c>
      <c r="AI17" s="175">
        <f t="shared" si="10"/>
        <v>0</v>
      </c>
      <c r="AJ17">
        <f t="shared" si="11"/>
        <v>0</v>
      </c>
      <c r="AL17" s="175">
        <f t="shared" si="12"/>
        <v>0</v>
      </c>
      <c r="AM17">
        <f t="shared" si="13"/>
        <v>0</v>
      </c>
      <c r="AO17" s="175">
        <f t="shared" si="14"/>
        <v>0</v>
      </c>
      <c r="AP17">
        <f t="shared" si="15"/>
        <v>0</v>
      </c>
      <c r="AT17">
        <f>'[1]Regulated Totals'!$B$16</f>
        <v>535.60300000000007</v>
      </c>
      <c r="AU17" s="175">
        <f t="shared" si="16"/>
        <v>184783.03500000003</v>
      </c>
      <c r="AV17">
        <f t="shared" si="17"/>
        <v>2.1424120000000002</v>
      </c>
      <c r="AW17">
        <f>Y18-AT17</f>
        <v>4068.4479999999994</v>
      </c>
      <c r="AX17" s="175">
        <f t="shared" si="18"/>
        <v>1403614.5599999998</v>
      </c>
      <c r="AY17">
        <f t="shared" si="19"/>
        <v>16.273791999999997</v>
      </c>
    </row>
    <row r="18" spans="1:51" s="170" customFormat="1" ht="28.5" x14ac:dyDescent="0.45">
      <c r="A18" s="185" t="s">
        <v>100</v>
      </c>
      <c r="B18" s="185" t="s">
        <v>242</v>
      </c>
      <c r="C18" s="185">
        <v>50</v>
      </c>
      <c r="D18" s="186">
        <v>16415</v>
      </c>
      <c r="E18" s="185" t="s">
        <v>240</v>
      </c>
      <c r="F18" s="187">
        <f>9.7/100</f>
        <v>9.6999999999999989E-2</v>
      </c>
      <c r="G18" s="187">
        <f t="shared" si="20"/>
        <v>4.0999999999999995E-2</v>
      </c>
      <c r="H18" s="187"/>
      <c r="I18" s="187"/>
      <c r="J18" s="188" t="e">
        <f t="shared" si="0"/>
        <v>#DIV/0!</v>
      </c>
      <c r="K18" s="186">
        <v>345</v>
      </c>
      <c r="L18" s="185" t="s">
        <v>241</v>
      </c>
      <c r="M18" s="187">
        <f>0.4/100</f>
        <v>4.0000000000000001E-3</v>
      </c>
      <c r="N18" s="187">
        <f>0.5/100</f>
        <v>5.0000000000000001E-3</v>
      </c>
      <c r="O18" s="187"/>
      <c r="P18" s="169"/>
      <c r="Q18" s="187"/>
      <c r="R18" s="186" t="e">
        <f t="shared" si="1"/>
        <v>#DIV/0!</v>
      </c>
      <c r="S18" s="186" t="e">
        <f>D18/(P18/100)</f>
        <v>#DIV/0!</v>
      </c>
      <c r="T18" s="186" t="e">
        <f t="shared" si="2"/>
        <v>#DIV/0!</v>
      </c>
      <c r="U18" s="189" t="e">
        <f>F18/(P18/100)</f>
        <v>#DIV/0!</v>
      </c>
      <c r="V18" s="186" t="e">
        <f>K18/(P18/100)</f>
        <v>#DIV/0!</v>
      </c>
      <c r="W18" s="189" t="e">
        <f>M18/(P18/100)</f>
        <v>#DIV/0!</v>
      </c>
      <c r="Y18" s="170">
        <f>'[1]Regional Totals'!$D$13</f>
        <v>4604.0509999999995</v>
      </c>
      <c r="Z18" s="190">
        <f t="shared" si="4"/>
        <v>1588397.5949999997</v>
      </c>
      <c r="AA18" s="170">
        <f t="shared" si="5"/>
        <v>18.416203999999997</v>
      </c>
      <c r="AB18" s="170">
        <f>0.003+275.38+110.942</f>
        <v>386.32499999999999</v>
      </c>
      <c r="AC18" s="190">
        <f t="shared" si="6"/>
        <v>133282.125</v>
      </c>
      <c r="AD18" s="170">
        <f t="shared" si="7"/>
        <v>1.5452999999999999</v>
      </c>
      <c r="AE18" s="170">
        <f>259.497+77.146+681.621+299.516</f>
        <v>1317.78</v>
      </c>
      <c r="AF18" s="190">
        <f t="shared" si="8"/>
        <v>454634.1</v>
      </c>
      <c r="AG18" s="170">
        <f t="shared" si="9"/>
        <v>5.2711199999999998</v>
      </c>
      <c r="AH18" s="170">
        <f>565.907+198.489</f>
        <v>764.39600000000007</v>
      </c>
      <c r="AI18" s="190">
        <f t="shared" si="10"/>
        <v>263716.62000000005</v>
      </c>
      <c r="AJ18" s="170">
        <f t="shared" si="11"/>
        <v>3.0575840000000003</v>
      </c>
      <c r="AK18" s="170">
        <f>350.607+848.5</f>
        <v>1199.107</v>
      </c>
      <c r="AL18" s="190">
        <f t="shared" si="12"/>
        <v>413691.91499999998</v>
      </c>
      <c r="AM18" s="170">
        <f t="shared" si="13"/>
        <v>4.7964279999999997</v>
      </c>
      <c r="AN18" s="170">
        <f>509.761+227.377</f>
        <v>737.13800000000003</v>
      </c>
      <c r="AO18" s="190">
        <f t="shared" si="14"/>
        <v>254312.61000000002</v>
      </c>
      <c r="AP18" s="170">
        <f t="shared" si="15"/>
        <v>2.9485520000000003</v>
      </c>
      <c r="AQ18" s="170">
        <f>123.48+75.477+0.223+0.125</f>
        <v>199.30500000000001</v>
      </c>
      <c r="AU18" s="190">
        <f t="shared" si="16"/>
        <v>0</v>
      </c>
      <c r="AV18" s="170">
        <f t="shared" si="17"/>
        <v>0</v>
      </c>
      <c r="AW18" s="170" t="e">
        <f>#REF!-AT18</f>
        <v>#REF!</v>
      </c>
      <c r="AX18" s="190" t="e">
        <f t="shared" si="18"/>
        <v>#REF!</v>
      </c>
      <c r="AY18" s="170" t="e">
        <f t="shared" si="19"/>
        <v>#REF!</v>
      </c>
    </row>
    <row r="19" spans="1:51" x14ac:dyDescent="0.45">
      <c r="A19" s="70" t="s">
        <v>100</v>
      </c>
      <c r="B19" s="69" t="s">
        <v>129</v>
      </c>
      <c r="C19" s="70">
        <v>3</v>
      </c>
      <c r="D19" s="156">
        <v>52.5</v>
      </c>
      <c r="E19" s="70" t="s">
        <v>230</v>
      </c>
      <c r="F19" s="95">
        <f>0.1/100</f>
        <v>1E-3</v>
      </c>
      <c r="G19" s="95">
        <f t="shared" si="20"/>
        <v>4.0999999999999995E-2</v>
      </c>
      <c r="H19" s="95"/>
      <c r="I19" s="95"/>
      <c r="J19" s="167" t="e">
        <f t="shared" si="0"/>
        <v>#DIV/0!</v>
      </c>
      <c r="K19" s="156" t="s">
        <v>354</v>
      </c>
      <c r="L19" s="70" t="s">
        <v>231</v>
      </c>
      <c r="M19" s="95"/>
      <c r="N19" s="95"/>
      <c r="O19" s="95"/>
      <c r="P19" s="164"/>
      <c r="Q19" s="95"/>
      <c r="R19" s="156" t="e">
        <f t="shared" si="1"/>
        <v>#DIV/0!</v>
      </c>
      <c r="S19" s="156" t="s">
        <v>348</v>
      </c>
      <c r="T19" s="156" t="e">
        <f t="shared" si="2"/>
        <v>#DIV/0!</v>
      </c>
      <c r="U19" s="168" t="s">
        <v>348</v>
      </c>
      <c r="V19" s="156" t="s">
        <v>348</v>
      </c>
      <c r="W19" s="168" t="s">
        <v>348</v>
      </c>
      <c r="Y19">
        <f>'[1]Regional Totals'!$D$14</f>
        <v>36286.539000000004</v>
      </c>
      <c r="Z19" s="175" t="e">
        <f t="shared" si="4"/>
        <v>#VALUE!</v>
      </c>
      <c r="AA19">
        <f t="shared" si="5"/>
        <v>0</v>
      </c>
      <c r="AC19" s="175" t="e">
        <f t="shared" si="6"/>
        <v>#VALUE!</v>
      </c>
      <c r="AD19">
        <f t="shared" si="7"/>
        <v>0</v>
      </c>
      <c r="AF19" s="175" t="e">
        <f t="shared" si="8"/>
        <v>#VALUE!</v>
      </c>
      <c r="AG19">
        <f t="shared" si="9"/>
        <v>0</v>
      </c>
      <c r="AI19" s="175" t="e">
        <f t="shared" si="10"/>
        <v>#VALUE!</v>
      </c>
      <c r="AJ19">
        <f t="shared" si="11"/>
        <v>0</v>
      </c>
      <c r="AL19" s="175" t="e">
        <f t="shared" si="12"/>
        <v>#VALUE!</v>
      </c>
      <c r="AM19">
        <f t="shared" si="13"/>
        <v>0</v>
      </c>
      <c r="AO19" s="175" t="e">
        <f t="shared" si="14"/>
        <v>#VALUE!</v>
      </c>
      <c r="AP19">
        <f t="shared" si="15"/>
        <v>0</v>
      </c>
      <c r="AT19">
        <f>'[1]Regulated Totals'!$B$17</f>
        <v>4267.7820000000002</v>
      </c>
      <c r="AU19" s="175" t="e">
        <f t="shared" si="16"/>
        <v>#VALUE!</v>
      </c>
      <c r="AV19">
        <f t="shared" si="17"/>
        <v>0</v>
      </c>
      <c r="AW19">
        <f t="shared" si="3"/>
        <v>32018.757000000005</v>
      </c>
      <c r="AX19" s="175" t="e">
        <f t="shared" si="18"/>
        <v>#VALUE!</v>
      </c>
      <c r="AY19">
        <f t="shared" si="19"/>
        <v>0</v>
      </c>
    </row>
    <row r="20" spans="1:51" s="170" customFormat="1" x14ac:dyDescent="0.45">
      <c r="A20" s="185" t="s">
        <v>100</v>
      </c>
      <c r="B20" s="185" t="s">
        <v>131</v>
      </c>
      <c r="C20" s="185">
        <v>20</v>
      </c>
      <c r="D20" s="186">
        <v>645</v>
      </c>
      <c r="E20" s="185" t="s">
        <v>234</v>
      </c>
      <c r="F20" s="187">
        <f>0.8/100</f>
        <v>8.0000000000000002E-3</v>
      </c>
      <c r="G20" s="187">
        <f t="shared" si="20"/>
        <v>4.0999999999999995E-2</v>
      </c>
      <c r="H20" s="187"/>
      <c r="I20" s="187"/>
      <c r="J20" s="188" t="e">
        <f t="shared" si="0"/>
        <v>#DIV/0!</v>
      </c>
      <c r="K20" s="186">
        <v>8.6</v>
      </c>
      <c r="L20" s="185" t="s">
        <v>233</v>
      </c>
      <c r="M20" s="187">
        <f>0.01/100</f>
        <v>1E-4</v>
      </c>
      <c r="N20" s="187">
        <f>0.01/100</f>
        <v>1E-4</v>
      </c>
      <c r="O20" s="187" t="s">
        <v>357</v>
      </c>
      <c r="P20" s="169" t="s">
        <v>365</v>
      </c>
      <c r="Q20" s="187" t="s">
        <v>357</v>
      </c>
      <c r="R20" s="186" t="e">
        <f t="shared" si="1"/>
        <v>#VALUE!</v>
      </c>
      <c r="S20" s="186" t="s">
        <v>348</v>
      </c>
      <c r="T20" s="186" t="e">
        <f t="shared" si="2"/>
        <v>#VALUE!</v>
      </c>
      <c r="U20" s="189" t="s">
        <v>348</v>
      </c>
      <c r="V20" s="186" t="s">
        <v>348</v>
      </c>
      <c r="W20" s="189" t="s">
        <v>348</v>
      </c>
      <c r="Y20" s="170">
        <f>'[1]Regional Totals'!$D$15</f>
        <v>8657.215000000002</v>
      </c>
      <c r="Z20" s="190">
        <f t="shared" si="4"/>
        <v>74452.049000000014</v>
      </c>
      <c r="AA20" s="170">
        <f t="shared" si="5"/>
        <v>0.86572150000000025</v>
      </c>
      <c r="AB20" s="170">
        <f>0.006+668.416+80.55</f>
        <v>748.97199999999998</v>
      </c>
      <c r="AC20" s="190">
        <f t="shared" si="6"/>
        <v>6441.1591999999991</v>
      </c>
      <c r="AD20" s="170">
        <f t="shared" si="7"/>
        <v>7.4897199999999997E-2</v>
      </c>
      <c r="AE20" s="170">
        <f>444.803+73.289+1654.46+217.48</f>
        <v>2390.0320000000002</v>
      </c>
      <c r="AF20" s="190">
        <f t="shared" si="8"/>
        <v>20554.2752</v>
      </c>
      <c r="AG20" s="170">
        <f t="shared" si="9"/>
        <v>0.23900320000000003</v>
      </c>
      <c r="AH20" s="170">
        <f>1373.59+144.124</f>
        <v>1517.7139999999999</v>
      </c>
      <c r="AI20" s="190">
        <f t="shared" si="10"/>
        <v>13052.340399999999</v>
      </c>
      <c r="AJ20" s="170">
        <f t="shared" si="11"/>
        <v>0.1517714</v>
      </c>
      <c r="AK20" s="170">
        <f>2059.519+254.577</f>
        <v>2314.0959999999995</v>
      </c>
      <c r="AL20" s="190">
        <f t="shared" si="12"/>
        <v>19901.225599999994</v>
      </c>
      <c r="AM20" s="170">
        <f t="shared" si="13"/>
        <v>0.23140959999999997</v>
      </c>
      <c r="AN20" s="170">
        <f>1237.305+165.101</f>
        <v>1402.4059999999999</v>
      </c>
      <c r="AO20" s="190">
        <f t="shared" si="14"/>
        <v>12060.691599999998</v>
      </c>
      <c r="AP20" s="170">
        <f t="shared" si="15"/>
        <v>0.14024059999999999</v>
      </c>
      <c r="AQ20" s="170" t="b">
        <f>0.091=211.656+71.703+0.54</f>
        <v>0</v>
      </c>
      <c r="AT20" s="170">
        <f>'[1]Regulated Totals'!$B$18</f>
        <v>801.45699999999988</v>
      </c>
      <c r="AU20" s="190">
        <f t="shared" si="16"/>
        <v>6892.5301999999983</v>
      </c>
      <c r="AV20" s="170">
        <f t="shared" si="17"/>
        <v>8.0145699999999986E-2</v>
      </c>
      <c r="AW20" s="170">
        <f t="shared" si="3"/>
        <v>7855.7580000000016</v>
      </c>
      <c r="AX20" s="190">
        <f t="shared" si="18"/>
        <v>67559.518800000005</v>
      </c>
      <c r="AY20" s="170">
        <f t="shared" si="19"/>
        <v>0.78557580000000016</v>
      </c>
    </row>
    <row r="21" spans="1:51" x14ac:dyDescent="0.45">
      <c r="A21" s="70" t="s">
        <v>100</v>
      </c>
      <c r="B21" s="69" t="s">
        <v>134</v>
      </c>
      <c r="C21" s="70">
        <v>75</v>
      </c>
      <c r="D21" s="156">
        <v>1042</v>
      </c>
      <c r="E21" s="70" t="s">
        <v>230</v>
      </c>
      <c r="F21" s="95">
        <f>1.3/100</f>
        <v>1.3000000000000001E-2</v>
      </c>
      <c r="G21" s="95">
        <f t="shared" si="20"/>
        <v>4.0999999999999995E-2</v>
      </c>
      <c r="H21" s="95"/>
      <c r="I21" s="95"/>
      <c r="J21" s="167" t="e">
        <f t="shared" si="0"/>
        <v>#DIV/0!</v>
      </c>
      <c r="K21" s="162">
        <v>50</v>
      </c>
      <c r="L21" s="70" t="s">
        <v>231</v>
      </c>
      <c r="M21" s="176">
        <f>M6/4</f>
        <v>5.0000000000000001E-4</v>
      </c>
      <c r="N21" s="95"/>
      <c r="O21" s="95" t="s">
        <v>357</v>
      </c>
      <c r="P21" s="169" t="s">
        <v>365</v>
      </c>
      <c r="Q21" s="95" t="s">
        <v>357</v>
      </c>
      <c r="R21" s="156" t="e">
        <f t="shared" si="1"/>
        <v>#VALUE!</v>
      </c>
      <c r="S21" s="156" t="s">
        <v>348</v>
      </c>
      <c r="T21" s="156" t="e">
        <f t="shared" si="2"/>
        <v>#VALUE!</v>
      </c>
      <c r="U21" s="168" t="s">
        <v>348</v>
      </c>
      <c r="V21" s="156" t="s">
        <v>348</v>
      </c>
      <c r="W21" s="168" t="s">
        <v>348</v>
      </c>
      <c r="Y21">
        <f>'[1]Regional Totals'!$D$16</f>
        <v>82.815999999999988</v>
      </c>
      <c r="Z21" s="175">
        <f t="shared" si="4"/>
        <v>4140.7999999999993</v>
      </c>
      <c r="AA21">
        <f t="shared" si="5"/>
        <v>4.1407999999999993E-2</v>
      </c>
      <c r="AB21">
        <f>'[1]Urban Tree Canopy'!$D$1</f>
        <v>14.351000000000001</v>
      </c>
      <c r="AC21" s="175">
        <f t="shared" si="6"/>
        <v>717.55000000000007</v>
      </c>
      <c r="AD21">
        <f t="shared" si="7"/>
        <v>7.1755000000000005E-3</v>
      </c>
      <c r="AE21">
        <f>'[1]Urban Tree Canopy'!$D$5+'[1]Urban Tree Canopy'!$D$6</f>
        <v>20.34</v>
      </c>
      <c r="AF21" s="175">
        <f t="shared" si="8"/>
        <v>1017</v>
      </c>
      <c r="AG21">
        <f t="shared" si="9"/>
        <v>1.017E-2</v>
      </c>
      <c r="AH21">
        <f>'[1]Urban Tree Canopy'!$D$7</f>
        <v>15.930999999999999</v>
      </c>
      <c r="AI21" s="175">
        <f t="shared" si="10"/>
        <v>796.55</v>
      </c>
      <c r="AJ21">
        <f t="shared" si="11"/>
        <v>7.9655000000000004E-3</v>
      </c>
      <c r="AK21">
        <f>'[1]Urban Tree Canopy'!$D$8</f>
        <v>23.888999999999999</v>
      </c>
      <c r="AL21" s="175">
        <f t="shared" si="12"/>
        <v>1194.45</v>
      </c>
      <c r="AM21">
        <f t="shared" si="13"/>
        <v>1.19445E-2</v>
      </c>
      <c r="AN21">
        <f>'[1]Urban Tree Canopy'!$D$1</f>
        <v>14.351000000000001</v>
      </c>
      <c r="AO21" s="175">
        <f t="shared" si="14"/>
        <v>717.55000000000007</v>
      </c>
      <c r="AP21">
        <f t="shared" si="15"/>
        <v>7.1755000000000005E-3</v>
      </c>
      <c r="AQ21">
        <f>'[1]Urban Tree Canopy'!$D$2+'[1]Urban Tree Canopy'!$D$3</f>
        <v>0.55200000000000005</v>
      </c>
      <c r="AT21">
        <f>'[1]Regulated Totals'!$B$19</f>
        <v>1.6950000000000001</v>
      </c>
      <c r="AU21" s="175">
        <f t="shared" si="16"/>
        <v>84.75</v>
      </c>
      <c r="AV21">
        <f t="shared" si="17"/>
        <v>8.4750000000000005E-4</v>
      </c>
      <c r="AW21">
        <f t="shared" si="3"/>
        <v>81.120999999999995</v>
      </c>
      <c r="AX21" s="175">
        <f t="shared" si="18"/>
        <v>4056.0499999999997</v>
      </c>
      <c r="AY21">
        <f t="shared" si="19"/>
        <v>4.0560499999999999E-2</v>
      </c>
    </row>
    <row r="22" spans="1:51" s="170" customFormat="1" ht="28.5" x14ac:dyDescent="0.45">
      <c r="A22" s="185" t="s">
        <v>100</v>
      </c>
      <c r="B22" s="185" t="s">
        <v>247</v>
      </c>
      <c r="C22" s="185">
        <v>20</v>
      </c>
      <c r="D22" s="186">
        <v>6281</v>
      </c>
      <c r="E22" s="185" t="s">
        <v>240</v>
      </c>
      <c r="F22" s="187">
        <f>7.9/100</f>
        <v>7.9000000000000001E-2</v>
      </c>
      <c r="G22" s="187">
        <f t="shared" si="20"/>
        <v>4.0999999999999995E-2</v>
      </c>
      <c r="H22" s="187"/>
      <c r="I22" s="187"/>
      <c r="J22" s="188" t="e">
        <f t="shared" si="0"/>
        <v>#DIV/0!</v>
      </c>
      <c r="K22" s="186">
        <v>314</v>
      </c>
      <c r="L22" s="185" t="s">
        <v>241</v>
      </c>
      <c r="M22" s="187">
        <f>0.6/100</f>
        <v>6.0000000000000001E-3</v>
      </c>
      <c r="N22" s="187">
        <f>0.7/100</f>
        <v>6.9999999999999993E-3</v>
      </c>
      <c r="O22" s="187">
        <v>45</v>
      </c>
      <c r="P22" s="169">
        <v>45</v>
      </c>
      <c r="Q22" s="187">
        <v>70</v>
      </c>
      <c r="R22" s="186">
        <f t="shared" si="1"/>
        <v>13957.777777777777</v>
      </c>
      <c r="S22" s="186">
        <f>D22/(P22/100)</f>
        <v>13957.777777777777</v>
      </c>
      <c r="T22" s="186">
        <f t="shared" si="2"/>
        <v>8972.8571428571431</v>
      </c>
      <c r="U22" s="189">
        <f>F22/(P22/100)</f>
        <v>0.17555555555555555</v>
      </c>
      <c r="V22" s="186">
        <f>K22/(P22/100)</f>
        <v>697.77777777777771</v>
      </c>
      <c r="W22" s="189">
        <f>M22/(P22/100)</f>
        <v>1.3333333333333332E-2</v>
      </c>
      <c r="Y22" s="170">
        <f>'[1]Regional Totals'!$D$17</f>
        <v>148.93199999999999</v>
      </c>
      <c r="Z22" s="190">
        <f t="shared" si="4"/>
        <v>46764.647999999994</v>
      </c>
      <c r="AA22" s="170">
        <f t="shared" si="5"/>
        <v>0.89359199999999994</v>
      </c>
      <c r="AB22" s="170">
        <f>8.428+1.806</f>
        <v>10.234000000000002</v>
      </c>
      <c r="AC22" s="190">
        <f t="shared" si="6"/>
        <v>3213.4760000000006</v>
      </c>
      <c r="AD22" s="170">
        <f t="shared" si="7"/>
        <v>6.1404000000000014E-2</v>
      </c>
      <c r="AE22" s="170">
        <f>27.762+0.225+20.862+4.876</f>
        <v>53.725000000000001</v>
      </c>
      <c r="AF22" s="190">
        <f t="shared" si="8"/>
        <v>16869.650000000001</v>
      </c>
      <c r="AG22" s="170">
        <f t="shared" si="9"/>
        <v>0.32235000000000003</v>
      </c>
      <c r="AH22" s="170">
        <f>17.321+3.232</f>
        <v>20.553000000000001</v>
      </c>
      <c r="AI22" s="190">
        <f t="shared" si="10"/>
        <v>6453.6419999999998</v>
      </c>
      <c r="AJ22" s="170">
        <f t="shared" si="11"/>
        <v>0.12331800000000001</v>
      </c>
      <c r="AK22" s="170">
        <f>25.971+5.707</f>
        <v>31.678000000000001</v>
      </c>
      <c r="AL22" s="190">
        <f t="shared" si="12"/>
        <v>9946.8919999999998</v>
      </c>
      <c r="AM22" s="170">
        <f t="shared" si="13"/>
        <v>0.19006800000000001</v>
      </c>
      <c r="AN22" s="170">
        <f>15.601+3.702</f>
        <v>19.303000000000001</v>
      </c>
      <c r="AO22" s="190">
        <f t="shared" si="14"/>
        <v>6061.1419999999998</v>
      </c>
      <c r="AP22" s="170">
        <f t="shared" si="15"/>
        <v>0.115818</v>
      </c>
      <c r="AQ22" s="170">
        <f>13.21+0.22+0.007+0.002</f>
        <v>13.439000000000002</v>
      </c>
      <c r="AT22" s="170">
        <f>'[1]Regulated Totals'!$B$20</f>
        <v>41.417000000000002</v>
      </c>
      <c r="AU22" s="190">
        <f t="shared" si="16"/>
        <v>13004.938</v>
      </c>
      <c r="AV22" s="170">
        <f t="shared" si="17"/>
        <v>0.24850200000000003</v>
      </c>
      <c r="AW22" s="170">
        <f t="shared" si="3"/>
        <v>107.51499999999999</v>
      </c>
      <c r="AX22" s="190">
        <f t="shared" si="18"/>
        <v>33759.71</v>
      </c>
      <c r="AY22" s="170">
        <f t="shared" si="19"/>
        <v>0.64508999999999994</v>
      </c>
    </row>
    <row r="23" spans="1:51" ht="28.5" x14ac:dyDescent="0.45">
      <c r="A23" s="70" t="s">
        <v>100</v>
      </c>
      <c r="B23" s="69" t="s">
        <v>249</v>
      </c>
      <c r="C23" s="70">
        <v>20</v>
      </c>
      <c r="D23" s="156">
        <v>6281</v>
      </c>
      <c r="E23" s="70" t="s">
        <v>240</v>
      </c>
      <c r="F23" s="95">
        <f>7.9/100</f>
        <v>7.9000000000000001E-2</v>
      </c>
      <c r="G23" s="95">
        <f t="shared" si="20"/>
        <v>4.0999999999999995E-2</v>
      </c>
      <c r="H23" s="95"/>
      <c r="I23" s="95"/>
      <c r="J23" s="167" t="e">
        <f t="shared" si="0"/>
        <v>#DIV/0!</v>
      </c>
      <c r="K23" s="156">
        <v>314</v>
      </c>
      <c r="L23" s="70" t="s">
        <v>241</v>
      </c>
      <c r="M23" s="95"/>
      <c r="N23" s="95"/>
      <c r="O23" s="95">
        <v>10</v>
      </c>
      <c r="P23" s="164">
        <v>10</v>
      </c>
      <c r="Q23" s="95">
        <v>50</v>
      </c>
      <c r="R23" s="156">
        <f t="shared" si="1"/>
        <v>62810</v>
      </c>
      <c r="S23" s="156">
        <f>D23/(P23/100)</f>
        <v>62810</v>
      </c>
      <c r="T23" s="156">
        <f t="shared" si="2"/>
        <v>12562</v>
      </c>
      <c r="U23" s="168">
        <f>F23/(P23/100)</f>
        <v>0.78999999999999992</v>
      </c>
      <c r="V23" s="156">
        <f>K23/(P23/100)</f>
        <v>3140</v>
      </c>
      <c r="W23" s="168">
        <f>M23/(P23/100)</f>
        <v>0</v>
      </c>
      <c r="Y23">
        <v>0</v>
      </c>
      <c r="Z23" s="175">
        <f t="shared" si="4"/>
        <v>0</v>
      </c>
      <c r="AA23">
        <f t="shared" si="5"/>
        <v>0</v>
      </c>
      <c r="AC23" s="175">
        <f t="shared" si="6"/>
        <v>0</v>
      </c>
      <c r="AD23">
        <f t="shared" si="7"/>
        <v>0</v>
      </c>
      <c r="AF23" s="175">
        <f t="shared" si="8"/>
        <v>0</v>
      </c>
      <c r="AG23">
        <f t="shared" si="9"/>
        <v>0</v>
      </c>
      <c r="AI23" s="175">
        <f t="shared" si="10"/>
        <v>0</v>
      </c>
      <c r="AJ23">
        <f t="shared" si="11"/>
        <v>0</v>
      </c>
      <c r="AL23" s="175">
        <f t="shared" si="12"/>
        <v>0</v>
      </c>
      <c r="AM23">
        <f t="shared" si="13"/>
        <v>0</v>
      </c>
      <c r="AO23" s="175">
        <f t="shared" si="14"/>
        <v>0</v>
      </c>
      <c r="AP23">
        <f t="shared" si="15"/>
        <v>0</v>
      </c>
      <c r="AT23">
        <v>0</v>
      </c>
      <c r="AU23" s="175">
        <f t="shared" si="16"/>
        <v>0</v>
      </c>
      <c r="AV23">
        <f t="shared" si="17"/>
        <v>0</v>
      </c>
      <c r="AW23">
        <f t="shared" si="3"/>
        <v>0</v>
      </c>
      <c r="AX23" s="175">
        <f t="shared" si="18"/>
        <v>0</v>
      </c>
      <c r="AY23">
        <f t="shared" si="19"/>
        <v>0</v>
      </c>
    </row>
    <row r="24" spans="1:51" ht="28.5" x14ac:dyDescent="0.45">
      <c r="A24" s="70" t="s">
        <v>100</v>
      </c>
      <c r="B24" s="69" t="s">
        <v>137</v>
      </c>
      <c r="C24" s="70">
        <v>50</v>
      </c>
      <c r="D24" s="156">
        <v>5682</v>
      </c>
      <c r="E24" s="70" t="s">
        <v>240</v>
      </c>
      <c r="F24" s="95">
        <f>7.2/100</f>
        <v>7.2000000000000008E-2</v>
      </c>
      <c r="G24" s="95">
        <f t="shared" si="20"/>
        <v>4.0999999999999995E-2</v>
      </c>
      <c r="H24" s="95"/>
      <c r="I24" s="95"/>
      <c r="J24" s="167" t="e">
        <f t="shared" si="0"/>
        <v>#DIV/0!</v>
      </c>
      <c r="K24" s="156">
        <v>106</v>
      </c>
      <c r="L24" s="70" t="s">
        <v>241</v>
      </c>
      <c r="M24" s="95">
        <f>0.2/100</f>
        <v>2E-3</v>
      </c>
      <c r="N24" s="95">
        <f>0.2/100</f>
        <v>2E-3</v>
      </c>
      <c r="O24" s="95">
        <v>20</v>
      </c>
      <c r="P24" s="164">
        <v>45</v>
      </c>
      <c r="Q24" s="95">
        <v>60</v>
      </c>
      <c r="R24" s="156">
        <f t="shared" si="1"/>
        <v>28410</v>
      </c>
      <c r="S24" s="156">
        <f>D24/(P24/100)</f>
        <v>12626.666666666666</v>
      </c>
      <c r="T24" s="156">
        <f t="shared" si="2"/>
        <v>9470</v>
      </c>
      <c r="U24" s="168">
        <f>F24/(P24/100)</f>
        <v>0.16</v>
      </c>
      <c r="V24" s="156">
        <f>K24/(P24/100)</f>
        <v>235.55555555555554</v>
      </c>
      <c r="W24" s="168">
        <f>M24/(P24/100)</f>
        <v>4.4444444444444444E-3</v>
      </c>
      <c r="Y24">
        <f>'[1]Regional Totals'!$D$18</f>
        <v>9524.3310000000019</v>
      </c>
      <c r="Z24" s="175">
        <f t="shared" si="4"/>
        <v>1009579.0860000002</v>
      </c>
      <c r="AA24">
        <f t="shared" si="5"/>
        <v>19.048662000000004</v>
      </c>
      <c r="AB24">
        <f>'[1]Weet Ponds and Wetlands'!$D$1+'[1]Weet Ponds and Wetlands'!$D$2+'[1]Weet Ponds and Wetlands'!$D$3</f>
        <v>735.03499999999997</v>
      </c>
      <c r="AC24" s="175">
        <f t="shared" si="6"/>
        <v>77913.709999999992</v>
      </c>
      <c r="AD24">
        <f t="shared" si="7"/>
        <v>1.47007</v>
      </c>
      <c r="AE24">
        <f>'[1]Weet Ponds and Wetlands'!$D$4+'[1]Weet Ponds and Wetlands'!$D$5+'[1]Weet Ponds and Wetlands'!$D$6</f>
        <v>2376.7939999999999</v>
      </c>
      <c r="AF24" s="175">
        <f t="shared" si="8"/>
        <v>251940.16399999999</v>
      </c>
      <c r="AG24">
        <f t="shared" si="9"/>
        <v>4.7535879999999997</v>
      </c>
      <c r="AH24">
        <f>'[1]Weet Ponds and Wetlands'!$D$7+'[1]Weet Ponds and Wetlands'!$D$8</f>
        <v>1450.1020000000001</v>
      </c>
      <c r="AI24" s="175">
        <f t="shared" si="10"/>
        <v>153710.81200000001</v>
      </c>
      <c r="AJ24">
        <f t="shared" si="11"/>
        <v>2.9002040000000004</v>
      </c>
      <c r="AK24">
        <f>'[1]Weet Ponds and Wetlands'!$D$15+'[1]Weet Ponds and Wetlands'!$D$16</f>
        <v>2282.6970000000001</v>
      </c>
      <c r="AL24" s="175">
        <f t="shared" si="12"/>
        <v>241965.88200000001</v>
      </c>
      <c r="AM24">
        <f t="shared" si="13"/>
        <v>4.5653940000000004</v>
      </c>
      <c r="AN24">
        <f>'[1]Weet Ponds and Wetlands'!$D$9+'[1]Weet Ponds and Wetlands'!$D$10</f>
        <v>1405.652</v>
      </c>
      <c r="AO24" s="175">
        <f t="shared" si="14"/>
        <v>148999.11199999999</v>
      </c>
      <c r="AP24">
        <f t="shared" si="15"/>
        <v>2.8113040000000002</v>
      </c>
      <c r="AQ24">
        <f>'[1]Weet Ponds and Wetlands'!$D$11+'[1]Weet Ponds and Wetlands'!$D$12+'[1]Weet Ponds and Wetlands'!$D$13+'[1]Weet Ponds and Wetlands'!$D$14</f>
        <v>661.08699999999999</v>
      </c>
      <c r="AT24">
        <f>'[1]Regulated Totals'!$B$21</f>
        <v>1779.8820000000001</v>
      </c>
      <c r="AU24" s="175">
        <f t="shared" si="16"/>
        <v>188667.492</v>
      </c>
      <c r="AV24">
        <f t="shared" si="17"/>
        <v>3.5597640000000004</v>
      </c>
      <c r="AW24">
        <f t="shared" si="3"/>
        <v>7744.4490000000023</v>
      </c>
      <c r="AX24" s="175">
        <f t="shared" si="18"/>
        <v>820911.59400000027</v>
      </c>
      <c r="AY24">
        <f t="shared" si="19"/>
        <v>15.488898000000004</v>
      </c>
    </row>
    <row r="25" spans="1:51" ht="30.6" customHeight="1" x14ac:dyDescent="0.45"/>
    <row r="26" spans="1:51" x14ac:dyDescent="0.45">
      <c r="Y26" s="177" t="s">
        <v>269</v>
      </c>
      <c r="Z26" s="177" t="e">
        <f>SUM(Z6:Z24)</f>
        <v>#VALUE!</v>
      </c>
      <c r="AA26" s="85">
        <f>SUM(AA6:AA24)</f>
        <v>185.07160250000001</v>
      </c>
    </row>
  </sheetData>
  <mergeCells count="17">
    <mergeCell ref="K3:K4"/>
    <mergeCell ref="A3:A4"/>
    <mergeCell ref="B3:B4"/>
    <mergeCell ref="C3:C4"/>
    <mergeCell ref="D3:D4"/>
    <mergeCell ref="E3:E4"/>
    <mergeCell ref="L3:L4"/>
    <mergeCell ref="O3:Q3"/>
    <mergeCell ref="S3:X3"/>
    <mergeCell ref="Y2:AQ2"/>
    <mergeCell ref="Y1:AQ1"/>
    <mergeCell ref="Y3:AA3"/>
    <mergeCell ref="AB3:AD3"/>
    <mergeCell ref="AE3:AG3"/>
    <mergeCell ref="AH3:AJ3"/>
    <mergeCell ref="AK3:AM3"/>
    <mergeCell ref="AN3:AP3"/>
  </mergeCells>
  <conditionalFormatting sqref="W5:W24">
    <cfRule type="colorScale" priority="1">
      <colorScale>
        <cfvo type="min"/>
        <cfvo type="percentile" val="50"/>
        <cfvo type="max"/>
        <color rgb="FF63BE7B"/>
        <color rgb="FFFFEB84"/>
        <color rgb="FFF8696B"/>
      </colorScale>
    </cfRule>
  </conditionalFormatting>
  <conditionalFormatting sqref="S5:S24">
    <cfRule type="colorScale" priority="4">
      <colorScale>
        <cfvo type="min"/>
        <cfvo type="percentile" val="50"/>
        <cfvo type="max"/>
        <color rgb="FF63BE7B"/>
        <color rgb="FFFFEB84"/>
        <color rgb="FFF8696B"/>
      </colorScale>
    </cfRule>
  </conditionalFormatting>
  <conditionalFormatting sqref="U5:U24">
    <cfRule type="colorScale" priority="3">
      <colorScale>
        <cfvo type="min"/>
        <cfvo type="percentile" val="50"/>
        <cfvo type="max"/>
        <color rgb="FF63BE7B"/>
        <color rgb="FFFFEB84"/>
        <color rgb="FFF8696B"/>
      </colorScale>
    </cfRule>
  </conditionalFormatting>
  <conditionalFormatting sqref="V5:V24">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
  <sheetViews>
    <sheetView zoomScale="75" zoomScaleNormal="75" workbookViewId="0">
      <pane xSplit="2" ySplit="2" topLeftCell="C3" activePane="bottomRight" state="frozen"/>
      <selection activeCell="D7" sqref="D7"/>
      <selection pane="topRight" activeCell="D7" sqref="D7"/>
      <selection pane="bottomLeft" activeCell="D7" sqref="D7"/>
      <selection pane="bottomRight" activeCell="D7" sqref="D7"/>
    </sheetView>
  </sheetViews>
  <sheetFormatPr defaultRowHeight="30.6" customHeight="1" x14ac:dyDescent="0.45"/>
  <cols>
    <col min="1" max="1" width="6.265625" bestFit="1" customWidth="1"/>
    <col min="2" max="2" width="25.1328125" customWidth="1"/>
    <col min="3" max="3" width="13.59765625" bestFit="1" customWidth="1"/>
    <col min="4" max="4" width="9.86328125" bestFit="1" customWidth="1"/>
    <col min="5" max="5" width="19" customWidth="1"/>
    <col min="7" max="7" width="13.3984375" customWidth="1"/>
    <col min="8" max="10" width="0" hidden="1" customWidth="1"/>
    <col min="11" max="11" width="7.59765625" bestFit="1" customWidth="1"/>
    <col min="12" max="12" width="18.73046875" customWidth="1"/>
    <col min="15" max="15" width="0" hidden="1" customWidth="1"/>
    <col min="16" max="16" width="14.59765625" style="152" customWidth="1"/>
    <col min="17" max="17" width="0" hidden="1" customWidth="1"/>
    <col min="18" max="18" width="12.3984375" hidden="1" customWidth="1"/>
    <col min="19" max="19" width="9.86328125" hidden="1" customWidth="1"/>
    <col min="20" max="20" width="0" hidden="1" customWidth="1"/>
    <col min="21" max="21" width="15.265625" hidden="1" customWidth="1"/>
    <col min="22" max="22" width="0" hidden="1" customWidth="1"/>
    <col min="23" max="23" width="16.73046875" hidden="1" customWidth="1"/>
    <col min="24" max="24" width="0" hidden="1" customWidth="1"/>
    <col min="25" max="25" width="14.3984375" hidden="1" customWidth="1"/>
    <col min="26" max="40" width="0" hidden="1" customWidth="1"/>
  </cols>
  <sheetData>
    <row r="1" spans="1:33" ht="30.6" customHeight="1" x14ac:dyDescent="0.45">
      <c r="A1" s="266" t="s">
        <v>0</v>
      </c>
      <c r="B1" s="265" t="s">
        <v>225</v>
      </c>
      <c r="C1" s="265" t="s">
        <v>252</v>
      </c>
      <c r="D1" s="266" t="s">
        <v>16</v>
      </c>
      <c r="E1" s="266" t="s">
        <v>253</v>
      </c>
      <c r="F1" s="173" t="s">
        <v>358</v>
      </c>
      <c r="G1" s="173"/>
      <c r="K1" s="266" t="s">
        <v>254</v>
      </c>
      <c r="L1" s="266" t="s">
        <v>255</v>
      </c>
      <c r="M1" s="173" t="s">
        <v>358</v>
      </c>
      <c r="N1" s="173"/>
      <c r="O1" s="267" t="s">
        <v>362</v>
      </c>
      <c r="P1" s="267"/>
      <c r="Q1" s="267"/>
      <c r="S1" s="264" t="s">
        <v>368</v>
      </c>
      <c r="T1" s="264"/>
      <c r="U1" s="264"/>
      <c r="V1" s="264"/>
      <c r="W1" s="264"/>
      <c r="X1" s="264"/>
      <c r="Y1" t="s">
        <v>369</v>
      </c>
      <c r="Z1" t="s">
        <v>370</v>
      </c>
      <c r="AA1" t="s">
        <v>371</v>
      </c>
      <c r="AB1" t="s">
        <v>372</v>
      </c>
      <c r="AC1" t="s">
        <v>373</v>
      </c>
      <c r="AD1" t="s">
        <v>374</v>
      </c>
      <c r="AE1" t="s">
        <v>375</v>
      </c>
      <c r="AF1" t="s">
        <v>376</v>
      </c>
      <c r="AG1" t="s">
        <v>377</v>
      </c>
    </row>
    <row r="2" spans="1:33" ht="30.6" customHeight="1" x14ac:dyDescent="0.45">
      <c r="A2" s="266"/>
      <c r="B2" s="265"/>
      <c r="C2" s="265"/>
      <c r="D2" s="266"/>
      <c r="E2" s="266"/>
      <c r="F2" s="174" t="s">
        <v>355</v>
      </c>
      <c r="G2" s="174" t="s">
        <v>269</v>
      </c>
      <c r="H2" t="s">
        <v>355</v>
      </c>
      <c r="I2" t="s">
        <v>269</v>
      </c>
      <c r="J2" t="s">
        <v>356</v>
      </c>
      <c r="K2" s="266"/>
      <c r="L2" s="266"/>
      <c r="M2" s="174" t="s">
        <v>355</v>
      </c>
      <c r="N2" s="174" t="s">
        <v>269</v>
      </c>
      <c r="O2" s="166" t="s">
        <v>359</v>
      </c>
      <c r="P2" s="166" t="s">
        <v>360</v>
      </c>
      <c r="Q2" s="166" t="s">
        <v>361</v>
      </c>
      <c r="R2" t="s">
        <v>359</v>
      </c>
      <c r="S2" s="96" t="s">
        <v>16</v>
      </c>
      <c r="T2" s="96" t="s">
        <v>361</v>
      </c>
      <c r="U2" s="96" t="s">
        <v>363</v>
      </c>
      <c r="V2" s="96" t="s">
        <v>254</v>
      </c>
      <c r="W2" s="96" t="s">
        <v>364</v>
      </c>
    </row>
    <row r="3" spans="1:33" ht="30.6" customHeight="1" x14ac:dyDescent="0.45">
      <c r="A3" s="70" t="s">
        <v>100</v>
      </c>
      <c r="B3" s="69" t="s">
        <v>251</v>
      </c>
      <c r="C3" s="70">
        <v>25</v>
      </c>
      <c r="D3" s="156">
        <v>14193</v>
      </c>
      <c r="E3" s="70" t="s">
        <v>240</v>
      </c>
      <c r="F3" s="95">
        <f>8.4/100</f>
        <v>8.4000000000000005E-2</v>
      </c>
      <c r="G3" s="95">
        <f>12.2/100</f>
        <v>0.122</v>
      </c>
      <c r="H3" s="95">
        <f>972328/100</f>
        <v>9723.2800000000007</v>
      </c>
      <c r="I3" s="95">
        <f>1429860/100</f>
        <v>14298.6</v>
      </c>
      <c r="J3" s="167">
        <f t="shared" ref="J3:J22" si="0">(I3-H3)/I3</f>
        <v>0.31998377463527894</v>
      </c>
      <c r="K3" s="156">
        <v>216</v>
      </c>
      <c r="L3" s="70" t="s">
        <v>241</v>
      </c>
      <c r="M3" s="95">
        <f>0.2/100</f>
        <v>2E-3</v>
      </c>
      <c r="N3" s="95">
        <f>0.3/100</f>
        <v>3.0000000000000001E-3</v>
      </c>
      <c r="O3" s="95">
        <v>80</v>
      </c>
      <c r="P3" s="151">
        <v>85</v>
      </c>
      <c r="Q3" s="95">
        <v>90</v>
      </c>
      <c r="R3" s="156">
        <f t="shared" ref="R3:R22" si="1">D3/(O3/100)</f>
        <v>17741.25</v>
      </c>
      <c r="S3" s="156">
        <f>D3/(P3/100)</f>
        <v>16697.647058823532</v>
      </c>
      <c r="T3" s="156">
        <f t="shared" ref="T3:T22" si="2">D3/(Q3/100)</f>
        <v>15770</v>
      </c>
      <c r="U3" s="168">
        <f>F3/(P3/100)</f>
        <v>9.8823529411764713E-2</v>
      </c>
      <c r="V3" s="156">
        <f>K3/(P3/100)</f>
        <v>254.11764705882354</v>
      </c>
      <c r="W3" s="168">
        <f>M3/(P3/100)</f>
        <v>2.3529411764705885E-3</v>
      </c>
      <c r="Y3">
        <v>0</v>
      </c>
    </row>
    <row r="4" spans="1:33" ht="30.6" customHeight="1" x14ac:dyDescent="0.45">
      <c r="A4" s="70" t="s">
        <v>100</v>
      </c>
      <c r="B4" s="69" t="s">
        <v>107</v>
      </c>
      <c r="C4" s="70">
        <v>25</v>
      </c>
      <c r="D4" s="156">
        <v>14193</v>
      </c>
      <c r="E4" s="70" t="s">
        <v>240</v>
      </c>
      <c r="F4" s="95">
        <f>8.4/100</f>
        <v>8.4000000000000005E-2</v>
      </c>
      <c r="G4" s="95">
        <f>12.2/100</f>
        <v>0.122</v>
      </c>
      <c r="H4" s="95">
        <f>972328/100</f>
        <v>9723.2800000000007</v>
      </c>
      <c r="I4" s="95">
        <f>1429860/100</f>
        <v>14298.6</v>
      </c>
      <c r="J4" s="167">
        <f t="shared" si="0"/>
        <v>0.31998377463527894</v>
      </c>
      <c r="K4" s="156">
        <v>216</v>
      </c>
      <c r="L4" s="70" t="s">
        <v>241</v>
      </c>
      <c r="M4" s="95">
        <f>0.2/100</f>
        <v>2E-3</v>
      </c>
      <c r="N4" s="95">
        <f>0.3/100</f>
        <v>3.0000000000000001E-3</v>
      </c>
      <c r="O4" s="95">
        <v>70</v>
      </c>
      <c r="P4" s="151">
        <v>75</v>
      </c>
      <c r="Q4" s="95">
        <v>80</v>
      </c>
      <c r="R4" s="156">
        <f t="shared" si="1"/>
        <v>20275.714285714286</v>
      </c>
      <c r="S4" s="156">
        <f>D4/(P4/100)</f>
        <v>18924</v>
      </c>
      <c r="T4" s="156">
        <f t="shared" si="2"/>
        <v>17741.25</v>
      </c>
      <c r="U4" s="168">
        <f>F4/(P4/100)</f>
        <v>0.112</v>
      </c>
      <c r="V4" s="156">
        <f>K4/(P4/100)</f>
        <v>288</v>
      </c>
      <c r="W4" s="168">
        <f>M4/(P4/100)</f>
        <v>2.6666666666666666E-3</v>
      </c>
      <c r="Y4">
        <f>'[1]Regional Totals'!$D$1</f>
        <v>2361.8550000000005</v>
      </c>
      <c r="Z4">
        <f>'[1]Regulated Totals'!$B$3</f>
        <v>25.279</v>
      </c>
      <c r="AA4">
        <f t="shared" ref="AA4:AA21" si="3">Y4-Z4</f>
        <v>2336.5760000000005</v>
      </c>
      <c r="AB4">
        <f>[1]UrbanBmpsSubmitted!$D$159+[1]UrbanBmpsSubmitted!$D$160</f>
        <v>222.31900000000002</v>
      </c>
      <c r="AC4">
        <f>[1]UrbanBmpsSubmitted!$D$163+[1]UrbanBmpsSubmitted!$D$164+[1]UrbanBmpsSubmitted!$D$173+[1]UrbanBmpsSubmitted!$D$174</f>
        <v>576.01900000000001</v>
      </c>
      <c r="AD4">
        <f>[1]UrbanBmpsSubmitted!$D$161+[1]UrbanBmpsSubmitted!$D$162</f>
        <v>445.18100000000004</v>
      </c>
      <c r="AE4">
        <f>[1]UrbanBmpsSubmitted!$D$171+[1]UrbanBmpsSubmitted!$D$172</f>
        <v>688.47900000000004</v>
      </c>
      <c r="AF4">
        <f>[1]UrbanBmpsSubmitted!$D$169+[1]UrbanBmpsSubmitted!$D$170</f>
        <v>420.25300000000004</v>
      </c>
      <c r="AG4">
        <f>[1]UrbanBmpsSubmitted!$D$165+[1]UrbanBmpsSubmitted!$D$166+[1]UrbanBmpsSubmitted!$D$167+[1]UrbanBmpsSubmitted!$D$168</f>
        <v>9.604000000000001</v>
      </c>
    </row>
    <row r="5" spans="1:33" ht="30.6" customHeight="1" x14ac:dyDescent="0.45">
      <c r="A5" s="70" t="s">
        <v>100</v>
      </c>
      <c r="B5" s="69" t="s">
        <v>244</v>
      </c>
      <c r="C5" s="70">
        <v>50</v>
      </c>
      <c r="D5" s="156">
        <v>12557</v>
      </c>
      <c r="E5" s="70" t="s">
        <v>240</v>
      </c>
      <c r="F5" s="95">
        <f>7.4/100</f>
        <v>7.400000000000001E-2</v>
      </c>
      <c r="G5" s="95">
        <f>10.8/100</f>
        <v>0.10800000000000001</v>
      </c>
      <c r="H5" s="95">
        <f>860249/100</f>
        <v>8602.49</v>
      </c>
      <c r="I5" s="95">
        <f>1265042/100</f>
        <v>12650.42</v>
      </c>
      <c r="J5" s="167">
        <f t="shared" si="0"/>
        <v>0.31998384243368999</v>
      </c>
      <c r="K5" s="156">
        <v>388</v>
      </c>
      <c r="L5" s="70" t="s">
        <v>241</v>
      </c>
      <c r="M5" s="95">
        <f>0.4/100</f>
        <v>4.0000000000000001E-3</v>
      </c>
      <c r="N5" s="95">
        <f>0.6/100</f>
        <v>6.0000000000000001E-3</v>
      </c>
      <c r="O5" s="95">
        <v>70</v>
      </c>
      <c r="P5" s="151">
        <v>75</v>
      </c>
      <c r="Q5" s="95">
        <v>80</v>
      </c>
      <c r="R5" s="156">
        <f t="shared" si="1"/>
        <v>17938.571428571431</v>
      </c>
      <c r="S5" s="156">
        <f>D5/(P5/100)</f>
        <v>16742.666666666668</v>
      </c>
      <c r="T5" s="156">
        <f t="shared" si="2"/>
        <v>15696.25</v>
      </c>
      <c r="U5" s="168">
        <f>F5/(P5/100)</f>
        <v>9.866666666666668E-2</v>
      </c>
      <c r="V5" s="156">
        <f>K5/(P5/100)</f>
        <v>517.33333333333337</v>
      </c>
      <c r="W5" s="168">
        <f>M5/(P5/100)</f>
        <v>5.3333333333333332E-3</v>
      </c>
      <c r="Y5">
        <f>'[1]Regional Totals'!$D$2</f>
        <v>18.835000000000001</v>
      </c>
      <c r="Z5">
        <f>'[1]Regulated Totals'!$B$4</f>
        <v>18.835000000000001</v>
      </c>
      <c r="AA5">
        <f t="shared" si="3"/>
        <v>0</v>
      </c>
    </row>
    <row r="6" spans="1:33" ht="30.6" customHeight="1" x14ac:dyDescent="0.45">
      <c r="A6" s="70" t="s">
        <v>100</v>
      </c>
      <c r="B6" s="69" t="s">
        <v>117</v>
      </c>
      <c r="C6" s="70">
        <v>50</v>
      </c>
      <c r="D6" s="156">
        <v>10600</v>
      </c>
      <c r="E6" s="70" t="s">
        <v>240</v>
      </c>
      <c r="F6" s="95">
        <f>10.8/100</f>
        <v>0.10800000000000001</v>
      </c>
      <c r="G6" s="95">
        <f>15.1/100</f>
        <v>0.151</v>
      </c>
      <c r="H6" s="95">
        <f>1059999/100</f>
        <v>10599.99</v>
      </c>
      <c r="I6" s="95">
        <f>1565629/100</f>
        <v>15656.29</v>
      </c>
      <c r="J6" s="167">
        <f t="shared" si="0"/>
        <v>0.32295646031083997</v>
      </c>
      <c r="K6" s="156">
        <v>170</v>
      </c>
      <c r="L6" s="70" t="s">
        <v>241</v>
      </c>
      <c r="M6" s="95">
        <f>0.2/100</f>
        <v>2E-3</v>
      </c>
      <c r="N6" s="95">
        <f>0.3/100</f>
        <v>3.0000000000000001E-3</v>
      </c>
      <c r="O6" s="95">
        <v>5</v>
      </c>
      <c r="P6" s="151">
        <v>10</v>
      </c>
      <c r="Q6" s="95">
        <v>10</v>
      </c>
      <c r="R6" s="156">
        <f t="shared" si="1"/>
        <v>212000</v>
      </c>
      <c r="S6" s="156">
        <f>D6/(P6/100)</f>
        <v>106000</v>
      </c>
      <c r="T6" s="156">
        <f t="shared" si="2"/>
        <v>106000</v>
      </c>
      <c r="U6" s="168">
        <f>F6/(P6/100)</f>
        <v>1.08</v>
      </c>
      <c r="V6" s="156">
        <f>K6/(P6/100)</f>
        <v>1700</v>
      </c>
      <c r="W6" s="168">
        <f>M6/(P6/100)</f>
        <v>0.02</v>
      </c>
      <c r="Y6">
        <f>'[1]Regional Totals'!$D$3</f>
        <v>4784.1710000000003</v>
      </c>
      <c r="Z6">
        <f>'[1]Regulated Totals'!$B$6</f>
        <v>836.2589999999999</v>
      </c>
      <c r="AA6">
        <f t="shared" si="3"/>
        <v>3947.9120000000003</v>
      </c>
    </row>
    <row r="7" spans="1:33" ht="30.6" customHeight="1" x14ac:dyDescent="0.45">
      <c r="A7" s="70" t="s">
        <v>100</v>
      </c>
      <c r="B7" s="69" t="s">
        <v>119</v>
      </c>
      <c r="C7" s="70">
        <v>50</v>
      </c>
      <c r="D7" s="156">
        <v>4743</v>
      </c>
      <c r="E7" s="70" t="s">
        <v>240</v>
      </c>
      <c r="F7" s="95">
        <f>2.8/100</f>
        <v>2.7999999999999997E-2</v>
      </c>
      <c r="G7" s="95">
        <f t="shared" ref="G7:G22" si="4">4.1/100</f>
        <v>4.0999999999999995E-2</v>
      </c>
      <c r="H7" s="95">
        <f>324865/100</f>
        <v>3248.65</v>
      </c>
      <c r="I7" s="95">
        <f>477728/100</f>
        <v>4777.28</v>
      </c>
      <c r="J7" s="167">
        <f t="shared" si="0"/>
        <v>0.31997915131623011</v>
      </c>
      <c r="K7" s="156">
        <v>67</v>
      </c>
      <c r="L7" s="70" t="s">
        <v>241</v>
      </c>
      <c r="M7" s="95">
        <f>0.1/100</f>
        <v>1E-3</v>
      </c>
      <c r="N7" s="95">
        <f>0.1/100</f>
        <v>1E-3</v>
      </c>
      <c r="O7" s="95">
        <v>20</v>
      </c>
      <c r="P7" s="151">
        <v>20</v>
      </c>
      <c r="Q7" s="95">
        <v>60</v>
      </c>
      <c r="R7" s="156">
        <f t="shared" si="1"/>
        <v>23715</v>
      </c>
      <c r="S7" s="156">
        <f>D7/(P7/100)</f>
        <v>23715</v>
      </c>
      <c r="T7" s="156">
        <f t="shared" si="2"/>
        <v>7905</v>
      </c>
      <c r="U7" s="168">
        <f>F7/(P7/100)</f>
        <v>0.13999999999999999</v>
      </c>
      <c r="V7" s="156">
        <f>K7/(P7/100)</f>
        <v>335</v>
      </c>
      <c r="W7" s="168">
        <f>M7/(P7/100)</f>
        <v>5.0000000000000001E-3</v>
      </c>
      <c r="Y7">
        <f>'[1]Regional Totals'!$D$4</f>
        <v>9647.7789999999986</v>
      </c>
      <c r="Z7">
        <f>'[1]Regulated Totals'!$B$7</f>
        <v>1466.8689999999999</v>
      </c>
      <c r="AA7">
        <f t="shared" si="3"/>
        <v>8180.9099999999989</v>
      </c>
    </row>
    <row r="8" spans="1:33" ht="30.6" customHeight="1" x14ac:dyDescent="0.45">
      <c r="A8" s="70" t="s">
        <v>100</v>
      </c>
      <c r="B8" s="69" t="s">
        <v>236</v>
      </c>
      <c r="C8" s="70">
        <v>20</v>
      </c>
      <c r="D8" s="156">
        <v>101956</v>
      </c>
      <c r="E8" s="70" t="s">
        <v>230</v>
      </c>
      <c r="F8" s="95">
        <v>0.9</v>
      </c>
      <c r="G8" s="95">
        <f t="shared" si="4"/>
        <v>4.0999999999999995E-2</v>
      </c>
      <c r="H8" s="95">
        <v>89577</v>
      </c>
      <c r="I8" s="70">
        <v>132598</v>
      </c>
      <c r="J8" s="167">
        <f t="shared" si="0"/>
        <v>0.32444682423565968</v>
      </c>
      <c r="K8" s="156">
        <v>3610</v>
      </c>
      <c r="L8" s="70" t="s">
        <v>237</v>
      </c>
      <c r="M8" s="95">
        <f>4.1/100</f>
        <v>4.0999999999999995E-2</v>
      </c>
      <c r="N8" s="95">
        <f>5.4/100</f>
        <v>5.4000000000000006E-2</v>
      </c>
      <c r="O8" s="95" t="s">
        <v>357</v>
      </c>
      <c r="P8" s="169" t="s">
        <v>365</v>
      </c>
      <c r="Q8" s="95" t="s">
        <v>357</v>
      </c>
      <c r="R8" s="156" t="e">
        <f t="shared" si="1"/>
        <v>#VALUE!</v>
      </c>
      <c r="S8" s="156" t="s">
        <v>348</v>
      </c>
      <c r="T8" s="156" t="e">
        <f t="shared" si="2"/>
        <v>#VALUE!</v>
      </c>
      <c r="U8" s="168" t="s">
        <v>348</v>
      </c>
      <c r="V8" s="156" t="s">
        <v>348</v>
      </c>
      <c r="W8" s="168" t="s">
        <v>348</v>
      </c>
      <c r="Y8">
        <f>'[1]Regional Totals'!$D$6</f>
        <v>1505.3120000000001</v>
      </c>
      <c r="Z8">
        <f>'[1]Regulated Totals'!$B$10</f>
        <v>160.63900000000001</v>
      </c>
      <c r="AA8">
        <f t="shared" si="3"/>
        <v>1344.6730000000002</v>
      </c>
    </row>
    <row r="9" spans="1:33" ht="28.5" x14ac:dyDescent="0.45">
      <c r="A9" s="70" t="s">
        <v>100</v>
      </c>
      <c r="B9" s="69" t="s">
        <v>245</v>
      </c>
      <c r="C9" s="70">
        <v>20</v>
      </c>
      <c r="D9" s="156">
        <v>101956</v>
      </c>
      <c r="E9" s="70" t="s">
        <v>246</v>
      </c>
      <c r="F9" s="95">
        <v>0.9</v>
      </c>
      <c r="G9" s="95">
        <f t="shared" si="4"/>
        <v>4.0999999999999995E-2</v>
      </c>
      <c r="H9" s="70">
        <v>89577</v>
      </c>
      <c r="I9" s="70">
        <v>132598</v>
      </c>
      <c r="J9" s="167">
        <f t="shared" si="0"/>
        <v>0.32444682423565968</v>
      </c>
      <c r="K9" s="156">
        <v>3610</v>
      </c>
      <c r="L9" s="70" t="s">
        <v>241</v>
      </c>
      <c r="M9" s="70">
        <v>4.1000000000000002E-2</v>
      </c>
      <c r="N9" s="70">
        <v>5.3999999999999999E-2</v>
      </c>
      <c r="O9" s="95">
        <v>75</v>
      </c>
      <c r="P9" s="151">
        <v>80</v>
      </c>
      <c r="Q9" s="95">
        <v>85</v>
      </c>
      <c r="R9" s="156">
        <f t="shared" si="1"/>
        <v>135941.33333333334</v>
      </c>
      <c r="S9" s="156">
        <f>D9/(P9/100)</f>
        <v>127445</v>
      </c>
      <c r="T9" s="156">
        <f t="shared" si="2"/>
        <v>119948.23529411765</v>
      </c>
      <c r="U9" s="168">
        <f>F9/(P9/100)</f>
        <v>1.125</v>
      </c>
      <c r="V9" s="156">
        <f>K9/(P9/100)</f>
        <v>4512.5</v>
      </c>
      <c r="W9" s="168">
        <f>M9/(P9/100)</f>
        <v>5.1249999999999997E-2</v>
      </c>
      <c r="Y9">
        <f>'[1]Regional Totals'!$D$7</f>
        <v>4.1099999999999994</v>
      </c>
      <c r="Z9">
        <f>'[1]Regulated Totals'!$B$11</f>
        <v>0.20400000000000001</v>
      </c>
      <c r="AA9">
        <f t="shared" si="3"/>
        <v>3.9059999999999993</v>
      </c>
    </row>
    <row r="10" spans="1:33" ht="42.75" hidden="1" x14ac:dyDescent="0.45">
      <c r="A10" s="70" t="s">
        <v>100</v>
      </c>
      <c r="B10" s="69" t="s">
        <v>250</v>
      </c>
      <c r="C10" s="70">
        <v>20</v>
      </c>
      <c r="D10" s="156">
        <v>101956</v>
      </c>
      <c r="E10" s="70" t="s">
        <v>246</v>
      </c>
      <c r="F10" s="95">
        <v>0.9</v>
      </c>
      <c r="G10" s="95">
        <f t="shared" si="4"/>
        <v>4.0999999999999995E-2</v>
      </c>
      <c r="H10" s="70">
        <v>89577</v>
      </c>
      <c r="I10" s="70">
        <v>132598</v>
      </c>
      <c r="J10" s="167">
        <f t="shared" si="0"/>
        <v>0.32444682423565968</v>
      </c>
      <c r="K10" s="156">
        <v>3610</v>
      </c>
      <c r="L10" s="70" t="s">
        <v>241</v>
      </c>
      <c r="M10" s="70">
        <v>4.1000000000000002E-2</v>
      </c>
      <c r="N10" s="70">
        <v>5.3999999999999999E-2</v>
      </c>
      <c r="O10" s="95"/>
      <c r="P10" s="151"/>
      <c r="Q10" s="95"/>
      <c r="R10" s="156" t="e">
        <f t="shared" si="1"/>
        <v>#DIV/0!</v>
      </c>
      <c r="S10" s="156" t="e">
        <f>D10/(P10/100)</f>
        <v>#DIV/0!</v>
      </c>
      <c r="T10" s="156" t="e">
        <f t="shared" si="2"/>
        <v>#DIV/0!</v>
      </c>
      <c r="U10" s="168" t="e">
        <f>F10/(P10/100)</f>
        <v>#DIV/0!</v>
      </c>
      <c r="V10" s="156" t="e">
        <f>K10/(P10/100)</f>
        <v>#DIV/0!</v>
      </c>
      <c r="W10" s="168" t="e">
        <f>M10/(P10/100)</f>
        <v>#DIV/0!</v>
      </c>
      <c r="AA10">
        <f t="shared" si="3"/>
        <v>0</v>
      </c>
    </row>
    <row r="11" spans="1:33" ht="30.6" customHeight="1" x14ac:dyDescent="0.45">
      <c r="A11" s="70" t="s">
        <v>100</v>
      </c>
      <c r="B11" s="69" t="s">
        <v>256</v>
      </c>
      <c r="C11" s="70">
        <v>20</v>
      </c>
      <c r="D11" s="156">
        <v>6049</v>
      </c>
      <c r="E11" s="70" t="s">
        <v>230</v>
      </c>
      <c r="F11" s="95"/>
      <c r="G11" s="95">
        <f t="shared" si="4"/>
        <v>4.0999999999999995E-2</v>
      </c>
      <c r="H11" s="95"/>
      <c r="I11" s="95"/>
      <c r="J11" s="167" t="e">
        <f t="shared" si="0"/>
        <v>#DIV/0!</v>
      </c>
      <c r="K11" s="156">
        <v>430.69</v>
      </c>
      <c r="L11" s="70" t="s">
        <v>231</v>
      </c>
      <c r="M11" s="95">
        <f>0.3/100</f>
        <v>3.0000000000000001E-3</v>
      </c>
      <c r="N11" s="95">
        <f>0.4/100</f>
        <v>4.0000000000000001E-3</v>
      </c>
      <c r="O11" s="95"/>
      <c r="P11" s="151"/>
      <c r="Q11" s="95"/>
      <c r="R11" s="156" t="e">
        <f t="shared" si="1"/>
        <v>#DIV/0!</v>
      </c>
      <c r="S11" s="156" t="s">
        <v>348</v>
      </c>
      <c r="T11" s="156" t="e">
        <f t="shared" si="2"/>
        <v>#DIV/0!</v>
      </c>
      <c r="U11" s="168" t="s">
        <v>348</v>
      </c>
      <c r="V11" s="156" t="s">
        <v>348</v>
      </c>
      <c r="W11" s="168" t="s">
        <v>348</v>
      </c>
      <c r="Y11">
        <f>'[1]Regional Totals'!$D$9</f>
        <v>1148.896</v>
      </c>
      <c r="Z11">
        <f>'[1]Regulated Totals'!$B$12</f>
        <v>205.06200000000001</v>
      </c>
      <c r="AA11">
        <f t="shared" si="3"/>
        <v>943.83399999999995</v>
      </c>
      <c r="AB11">
        <f>[1]UrbanBmpsSubmitted!$D$138</f>
        <v>88.21</v>
      </c>
      <c r="AC11">
        <f>[1]UrbanBmpsSubmitted!$D$139+[1]UrbanBmpsSubmitted!$D$140</f>
        <v>341.798</v>
      </c>
      <c r="AD11">
        <f>[1]UrbanBmpsSubmitted!$D$141</f>
        <v>157.821</v>
      </c>
      <c r="AE11">
        <f>[1]UrbanBmpsSubmitted!$D$142</f>
        <v>278.76900000000001</v>
      </c>
      <c r="AF11">
        <f>[1]UrbanBmpsSubmitted!$D$143</f>
        <v>180.78899999999999</v>
      </c>
      <c r="AG11">
        <f>[1]UrbanBmpsSubmitted!$D$144+[1]UrbanBmpsSubmitted!$D$145</f>
        <v>101.509</v>
      </c>
    </row>
    <row r="12" spans="1:33" ht="30.6" customHeight="1" x14ac:dyDescent="0.45">
      <c r="A12" s="70" t="s">
        <v>100</v>
      </c>
      <c r="B12" s="69" t="s">
        <v>124</v>
      </c>
      <c r="C12" s="70">
        <v>25</v>
      </c>
      <c r="D12" s="156">
        <v>20021</v>
      </c>
      <c r="E12" s="70" t="s">
        <v>240</v>
      </c>
      <c r="F12" s="95">
        <f>9.7/100</f>
        <v>9.6999999999999989E-2</v>
      </c>
      <c r="G12" s="95">
        <f t="shared" si="4"/>
        <v>4.0999999999999995E-2</v>
      </c>
      <c r="H12" s="95"/>
      <c r="I12" s="95"/>
      <c r="J12" s="167" t="e">
        <f t="shared" si="0"/>
        <v>#DIV/0!</v>
      </c>
      <c r="K12" s="156">
        <v>773</v>
      </c>
      <c r="L12" s="70" t="s">
        <v>241</v>
      </c>
      <c r="M12" s="95">
        <f>0.9/100</f>
        <v>9.0000000000000011E-3</v>
      </c>
      <c r="N12" s="95">
        <f>1.1/100</f>
        <v>1.1000000000000001E-2</v>
      </c>
      <c r="O12" s="95">
        <v>40</v>
      </c>
      <c r="P12" s="151">
        <v>60</v>
      </c>
      <c r="Q12" s="95">
        <v>80</v>
      </c>
      <c r="R12" s="156">
        <f t="shared" si="1"/>
        <v>50052.5</v>
      </c>
      <c r="S12" s="156">
        <f>D12/(P12/100)</f>
        <v>33368.333333333336</v>
      </c>
      <c r="T12" s="156">
        <f t="shared" si="2"/>
        <v>25026.25</v>
      </c>
      <c r="U12" s="168">
        <f>F12/(P12/100)</f>
        <v>0.16166666666666665</v>
      </c>
      <c r="V12" s="156">
        <f>K12/(P12/100)</f>
        <v>1288.3333333333335</v>
      </c>
      <c r="W12" s="168">
        <f>M12/(P12/100)</f>
        <v>1.5000000000000003E-2</v>
      </c>
      <c r="Y12">
        <f>'[1]Regional Totals'!$D$10</f>
        <v>4226.8500000000004</v>
      </c>
      <c r="Z12">
        <f>'[1]Regulated Totals'!$B$13</f>
        <v>540.66499999999996</v>
      </c>
      <c r="AA12">
        <f t="shared" si="3"/>
        <v>3686.1850000000004</v>
      </c>
    </row>
    <row r="13" spans="1:33" ht="30.6" customHeight="1" x14ac:dyDescent="0.45">
      <c r="A13" s="70" t="s">
        <v>100</v>
      </c>
      <c r="B13" s="69" t="s">
        <v>126</v>
      </c>
      <c r="C13" s="70">
        <v>75</v>
      </c>
      <c r="D13" s="156">
        <v>683.38</v>
      </c>
      <c r="E13" s="70" t="s">
        <v>230</v>
      </c>
      <c r="F13" s="95">
        <f>0.9/100</f>
        <v>9.0000000000000011E-3</v>
      </c>
      <c r="G13" s="95">
        <f t="shared" si="4"/>
        <v>4.0999999999999995E-2</v>
      </c>
      <c r="H13" s="95"/>
      <c r="I13" s="95"/>
      <c r="J13" s="167" t="e">
        <f t="shared" si="0"/>
        <v>#DIV/0!</v>
      </c>
      <c r="K13" s="156">
        <v>0</v>
      </c>
      <c r="L13" s="70" t="s">
        <v>231</v>
      </c>
      <c r="M13" s="95"/>
      <c r="N13" s="95"/>
      <c r="O13" s="95">
        <v>25</v>
      </c>
      <c r="P13" s="151">
        <v>50</v>
      </c>
      <c r="Q13" s="95">
        <v>50</v>
      </c>
      <c r="R13" s="156">
        <f t="shared" si="1"/>
        <v>2733.52</v>
      </c>
      <c r="S13" s="156">
        <f>D13/(P13/100)</f>
        <v>1366.76</v>
      </c>
      <c r="T13" s="156">
        <f t="shared" si="2"/>
        <v>1366.76</v>
      </c>
      <c r="U13" s="168">
        <f>F13/(P13/100)</f>
        <v>1.8000000000000002E-2</v>
      </c>
      <c r="V13" s="156">
        <f>K13/(P13/100)</f>
        <v>0</v>
      </c>
      <c r="W13" s="168">
        <f>M13/(P13/100)</f>
        <v>0</v>
      </c>
      <c r="Y13">
        <f>'[1]Regional Totals'!$D$11</f>
        <v>340.43899999999996</v>
      </c>
      <c r="Z13">
        <f>'[1]Regulated Totals'!$B$14</f>
        <v>24.502000000000002</v>
      </c>
      <c r="AA13">
        <f t="shared" si="3"/>
        <v>315.93699999999995</v>
      </c>
    </row>
    <row r="14" spans="1:33" ht="30.6" customHeight="1" x14ac:dyDescent="0.45">
      <c r="A14" s="70" t="s">
        <v>100</v>
      </c>
      <c r="B14" s="69" t="s">
        <v>238</v>
      </c>
      <c r="C14" s="70">
        <v>10</v>
      </c>
      <c r="D14" s="156">
        <v>346.67</v>
      </c>
      <c r="E14" s="70" t="s">
        <v>230</v>
      </c>
      <c r="F14" s="95">
        <f>0.4/100</f>
        <v>4.0000000000000001E-3</v>
      </c>
      <c r="G14" s="95">
        <f t="shared" si="4"/>
        <v>4.0999999999999995E-2</v>
      </c>
      <c r="H14" s="95"/>
      <c r="I14" s="95"/>
      <c r="J14" s="167" t="e">
        <f t="shared" si="0"/>
        <v>#DIV/0!</v>
      </c>
      <c r="K14" s="156">
        <v>0</v>
      </c>
      <c r="L14" s="70" t="s">
        <v>231</v>
      </c>
      <c r="M14" s="95"/>
      <c r="N14" s="95"/>
      <c r="O14" s="95">
        <v>25</v>
      </c>
      <c r="P14" s="151">
        <v>50</v>
      </c>
      <c r="Q14" s="95">
        <v>50</v>
      </c>
      <c r="R14" s="156">
        <f t="shared" si="1"/>
        <v>1386.68</v>
      </c>
      <c r="S14" s="156">
        <f>D14/(P14/100)</f>
        <v>693.34</v>
      </c>
      <c r="T14" s="156">
        <f t="shared" si="2"/>
        <v>693.34</v>
      </c>
      <c r="U14" s="168">
        <f>F14/(P14/100)</f>
        <v>8.0000000000000002E-3</v>
      </c>
      <c r="V14" s="156">
        <f>K14/(P14/100)</f>
        <v>0</v>
      </c>
      <c r="W14" s="168">
        <f>M14/(P14/100)</f>
        <v>0</v>
      </c>
      <c r="Y14">
        <v>0</v>
      </c>
      <c r="Z14">
        <v>0</v>
      </c>
      <c r="AA14">
        <f t="shared" si="3"/>
        <v>0</v>
      </c>
    </row>
    <row r="15" spans="1:33" ht="30.6" customHeight="1" x14ac:dyDescent="0.45">
      <c r="A15" s="70" t="s">
        <v>100</v>
      </c>
      <c r="B15" s="69" t="s">
        <v>243</v>
      </c>
      <c r="C15" s="70">
        <v>50</v>
      </c>
      <c r="D15" s="156">
        <v>16415</v>
      </c>
      <c r="E15" s="70" t="s">
        <v>240</v>
      </c>
      <c r="F15" s="95">
        <f>9.7/100</f>
        <v>9.6999999999999989E-2</v>
      </c>
      <c r="G15" s="95">
        <f t="shared" si="4"/>
        <v>4.0999999999999995E-2</v>
      </c>
      <c r="H15" s="95"/>
      <c r="I15" s="95"/>
      <c r="J15" s="167" t="e">
        <f t="shared" si="0"/>
        <v>#DIV/0!</v>
      </c>
      <c r="K15" s="156">
        <v>345</v>
      </c>
      <c r="L15" s="70" t="s">
        <v>241</v>
      </c>
      <c r="M15" s="95">
        <f>0.4/100</f>
        <v>4.0000000000000001E-3</v>
      </c>
      <c r="N15" s="95">
        <f>0.5/100</f>
        <v>5.0000000000000001E-3</v>
      </c>
      <c r="O15" s="95">
        <v>45</v>
      </c>
      <c r="P15" s="151">
        <v>50</v>
      </c>
      <c r="Q15" s="95">
        <v>70</v>
      </c>
      <c r="R15" s="156">
        <f t="shared" si="1"/>
        <v>36477.777777777774</v>
      </c>
      <c r="S15" s="156">
        <f>D15/(P15/100)</f>
        <v>32830</v>
      </c>
      <c r="T15" s="156">
        <f t="shared" si="2"/>
        <v>23450</v>
      </c>
      <c r="U15" s="168">
        <f>F15/(P15/100)</f>
        <v>0.19399999999999998</v>
      </c>
      <c r="V15" s="156">
        <f>K15/(P15/100)</f>
        <v>690</v>
      </c>
      <c r="W15" s="168">
        <f>M15/(P15/100)</f>
        <v>8.0000000000000002E-3</v>
      </c>
      <c r="Y15">
        <f>'[1]Regional Totals'!$D$13</f>
        <v>4604.0509999999995</v>
      </c>
      <c r="Z15">
        <f>'[1]Regulated Totals'!$B$16</f>
        <v>535.60300000000007</v>
      </c>
      <c r="AA15">
        <f t="shared" si="3"/>
        <v>4068.4479999999994</v>
      </c>
    </row>
    <row r="16" spans="1:33" ht="30.6" hidden="1" customHeight="1" x14ac:dyDescent="0.45">
      <c r="A16" s="70" t="s">
        <v>100</v>
      </c>
      <c r="B16" s="69" t="s">
        <v>242</v>
      </c>
      <c r="C16" s="70">
        <v>50</v>
      </c>
      <c r="D16" s="156">
        <v>16415</v>
      </c>
      <c r="E16" s="70" t="s">
        <v>240</v>
      </c>
      <c r="F16" s="95">
        <f>9.7/100</f>
        <v>9.6999999999999989E-2</v>
      </c>
      <c r="G16" s="95">
        <f t="shared" si="4"/>
        <v>4.0999999999999995E-2</v>
      </c>
      <c r="H16" s="95"/>
      <c r="I16" s="95"/>
      <c r="J16" s="167" t="e">
        <f t="shared" si="0"/>
        <v>#DIV/0!</v>
      </c>
      <c r="K16" s="156">
        <v>345</v>
      </c>
      <c r="L16" s="70" t="s">
        <v>241</v>
      </c>
      <c r="M16" s="95">
        <f>0.4/100</f>
        <v>4.0000000000000001E-3</v>
      </c>
      <c r="N16" s="95">
        <f>0.5/100</f>
        <v>5.0000000000000001E-3</v>
      </c>
      <c r="O16" s="95"/>
      <c r="P16" s="151"/>
      <c r="Q16" s="95"/>
      <c r="R16" s="156" t="e">
        <f t="shared" si="1"/>
        <v>#DIV/0!</v>
      </c>
      <c r="S16" s="156" t="e">
        <f>D16/(P16/100)</f>
        <v>#DIV/0!</v>
      </c>
      <c r="T16" s="156" t="e">
        <f t="shared" si="2"/>
        <v>#DIV/0!</v>
      </c>
      <c r="U16" s="168" t="e">
        <f>F16/(P16/100)</f>
        <v>#DIV/0!</v>
      </c>
      <c r="V16" s="156" t="e">
        <f>K16/(P16/100)</f>
        <v>#DIV/0!</v>
      </c>
      <c r="W16" s="168" t="e">
        <f>M16/(P16/100)</f>
        <v>#DIV/0!</v>
      </c>
      <c r="AA16">
        <f t="shared" si="3"/>
        <v>0</v>
      </c>
    </row>
    <row r="17" spans="1:34" ht="30.6" customHeight="1" x14ac:dyDescent="0.45">
      <c r="A17" s="70" t="s">
        <v>100</v>
      </c>
      <c r="B17" s="69" t="s">
        <v>129</v>
      </c>
      <c r="C17" s="70">
        <v>3</v>
      </c>
      <c r="D17" s="156">
        <v>52.5</v>
      </c>
      <c r="E17" s="70" t="s">
        <v>230</v>
      </c>
      <c r="F17" s="95">
        <f>0.1/100</f>
        <v>1E-3</v>
      </c>
      <c r="G17" s="95">
        <f t="shared" si="4"/>
        <v>4.0999999999999995E-2</v>
      </c>
      <c r="H17" s="95"/>
      <c r="I17" s="95"/>
      <c r="J17" s="167" t="e">
        <f t="shared" si="0"/>
        <v>#DIV/0!</v>
      </c>
      <c r="K17" s="156" t="s">
        <v>354</v>
      </c>
      <c r="L17" s="70" t="s">
        <v>231</v>
      </c>
      <c r="M17" s="95"/>
      <c r="N17" s="95"/>
      <c r="O17" s="95"/>
      <c r="P17" s="151"/>
      <c r="Q17" s="95"/>
      <c r="R17" s="156" t="e">
        <f t="shared" si="1"/>
        <v>#DIV/0!</v>
      </c>
      <c r="S17" s="156" t="s">
        <v>348</v>
      </c>
      <c r="T17" s="156" t="e">
        <f t="shared" si="2"/>
        <v>#DIV/0!</v>
      </c>
      <c r="U17" s="168" t="s">
        <v>348</v>
      </c>
      <c r="V17" s="156" t="s">
        <v>348</v>
      </c>
      <c r="W17" s="168" t="s">
        <v>348</v>
      </c>
      <c r="Y17">
        <f>'[1]Regional Totals'!$D$14</f>
        <v>36286.539000000004</v>
      </c>
      <c r="Z17">
        <f>'[1]Regulated Totals'!$B$17</f>
        <v>4267.7820000000002</v>
      </c>
      <c r="AA17">
        <f t="shared" si="3"/>
        <v>32018.757000000005</v>
      </c>
    </row>
    <row r="18" spans="1:34" ht="30.6" customHeight="1" x14ac:dyDescent="0.45">
      <c r="A18" s="70" t="s">
        <v>100</v>
      </c>
      <c r="B18" s="69" t="s">
        <v>131</v>
      </c>
      <c r="C18" s="70">
        <v>20</v>
      </c>
      <c r="D18" s="156">
        <v>645</v>
      </c>
      <c r="E18" s="70" t="s">
        <v>234</v>
      </c>
      <c r="F18" s="95">
        <f>0.8/100</f>
        <v>8.0000000000000002E-3</v>
      </c>
      <c r="G18" s="95">
        <f t="shared" si="4"/>
        <v>4.0999999999999995E-2</v>
      </c>
      <c r="H18" s="95"/>
      <c r="I18" s="95"/>
      <c r="J18" s="167" t="e">
        <f t="shared" si="0"/>
        <v>#DIV/0!</v>
      </c>
      <c r="K18" s="156">
        <v>8.6</v>
      </c>
      <c r="L18" s="70" t="s">
        <v>233</v>
      </c>
      <c r="M18" s="95">
        <f>0.01/100</f>
        <v>1E-4</v>
      </c>
      <c r="N18" s="95">
        <f>0.01/100</f>
        <v>1E-4</v>
      </c>
      <c r="O18" s="95" t="s">
        <v>357</v>
      </c>
      <c r="P18" s="169" t="s">
        <v>365</v>
      </c>
      <c r="Q18" s="95" t="s">
        <v>357</v>
      </c>
      <c r="R18" s="156" t="e">
        <f t="shared" si="1"/>
        <v>#VALUE!</v>
      </c>
      <c r="S18" s="156" t="s">
        <v>348</v>
      </c>
      <c r="T18" s="156" t="e">
        <f t="shared" si="2"/>
        <v>#VALUE!</v>
      </c>
      <c r="U18" s="168" t="s">
        <v>348</v>
      </c>
      <c r="V18" s="156" t="s">
        <v>348</v>
      </c>
      <c r="W18" s="168" t="s">
        <v>348</v>
      </c>
      <c r="Y18">
        <f>'[1]Regional Totals'!$D$15</f>
        <v>8657.215000000002</v>
      </c>
      <c r="Z18">
        <f>'[1]Regulated Totals'!$B$18</f>
        <v>801.45699999999988</v>
      </c>
      <c r="AA18">
        <f t="shared" si="3"/>
        <v>7855.7580000000016</v>
      </c>
    </row>
    <row r="19" spans="1:34" ht="30.6" customHeight="1" x14ac:dyDescent="0.45">
      <c r="A19" s="70" t="s">
        <v>100</v>
      </c>
      <c r="B19" s="69" t="s">
        <v>134</v>
      </c>
      <c r="C19" s="70">
        <v>75</v>
      </c>
      <c r="D19" s="156">
        <v>1042</v>
      </c>
      <c r="E19" s="70" t="s">
        <v>230</v>
      </c>
      <c r="F19" s="95">
        <f>1.3/100</f>
        <v>1.3000000000000001E-2</v>
      </c>
      <c r="G19" s="95">
        <f t="shared" si="4"/>
        <v>4.0999999999999995E-2</v>
      </c>
      <c r="H19" s="95"/>
      <c r="I19" s="95"/>
      <c r="J19" s="167" t="e">
        <f t="shared" si="0"/>
        <v>#DIV/0!</v>
      </c>
      <c r="K19" s="156">
        <v>0</v>
      </c>
      <c r="L19" s="70" t="s">
        <v>231</v>
      </c>
      <c r="M19" s="95"/>
      <c r="N19" s="95"/>
      <c r="O19" s="95" t="s">
        <v>357</v>
      </c>
      <c r="P19" s="169" t="s">
        <v>365</v>
      </c>
      <c r="Q19" s="95" t="s">
        <v>357</v>
      </c>
      <c r="R19" s="156" t="e">
        <f t="shared" si="1"/>
        <v>#VALUE!</v>
      </c>
      <c r="S19" s="156" t="s">
        <v>348</v>
      </c>
      <c r="T19" s="156" t="e">
        <f t="shared" si="2"/>
        <v>#VALUE!</v>
      </c>
      <c r="U19" s="168" t="s">
        <v>348</v>
      </c>
      <c r="V19" s="156" t="s">
        <v>348</v>
      </c>
      <c r="W19" s="168" t="s">
        <v>348</v>
      </c>
      <c r="Y19">
        <f>'[1]Regional Totals'!$D$16</f>
        <v>82.815999999999988</v>
      </c>
      <c r="Z19">
        <f>'[1]Regulated Totals'!$B$19</f>
        <v>1.6950000000000001</v>
      </c>
      <c r="AA19">
        <f t="shared" si="3"/>
        <v>81.120999999999995</v>
      </c>
      <c r="AB19">
        <f>'[1]Urban Tree Canopy'!$D$1</f>
        <v>14.351000000000001</v>
      </c>
      <c r="AC19">
        <f>'[1]Urban Tree Canopy'!$D$5+'[1]Urban Tree Canopy'!$D$6</f>
        <v>20.34</v>
      </c>
      <c r="AD19">
        <f>'[1]Urban Tree Canopy'!$D$7</f>
        <v>15.930999999999999</v>
      </c>
      <c r="AE19">
        <f>'[1]Urban Tree Canopy'!$D$8</f>
        <v>23.888999999999999</v>
      </c>
      <c r="AF19">
        <f>'[1]Urban Tree Canopy'!$D$1</f>
        <v>14.351000000000001</v>
      </c>
      <c r="AG19">
        <f>'[1]Urban Tree Canopy'!$D$2+'[1]Urban Tree Canopy'!$D$3</f>
        <v>0.55200000000000005</v>
      </c>
    </row>
    <row r="20" spans="1:34" ht="30.6" customHeight="1" x14ac:dyDescent="0.45">
      <c r="A20" s="70" t="s">
        <v>100</v>
      </c>
      <c r="B20" s="69" t="s">
        <v>247</v>
      </c>
      <c r="C20" s="70">
        <v>20</v>
      </c>
      <c r="D20" s="156">
        <v>6281</v>
      </c>
      <c r="E20" s="70" t="s">
        <v>240</v>
      </c>
      <c r="F20" s="95">
        <f>7.9/100</f>
        <v>7.9000000000000001E-2</v>
      </c>
      <c r="G20" s="95">
        <f t="shared" si="4"/>
        <v>4.0999999999999995E-2</v>
      </c>
      <c r="H20" s="95"/>
      <c r="I20" s="95"/>
      <c r="J20" s="167" t="e">
        <f t="shared" si="0"/>
        <v>#DIV/0!</v>
      </c>
      <c r="K20" s="156">
        <v>314</v>
      </c>
      <c r="L20" s="70" t="s">
        <v>241</v>
      </c>
      <c r="M20" s="95">
        <f>0.6/100</f>
        <v>6.0000000000000001E-3</v>
      </c>
      <c r="N20" s="95">
        <f>0.7/100</f>
        <v>6.9999999999999993E-3</v>
      </c>
      <c r="O20" s="95">
        <v>45</v>
      </c>
      <c r="P20" s="151">
        <v>45</v>
      </c>
      <c r="Q20" s="95">
        <v>70</v>
      </c>
      <c r="R20" s="156">
        <f t="shared" si="1"/>
        <v>13957.777777777777</v>
      </c>
      <c r="S20" s="156">
        <f>D20/(P20/100)</f>
        <v>13957.777777777777</v>
      </c>
      <c r="T20" s="156">
        <f t="shared" si="2"/>
        <v>8972.8571428571431</v>
      </c>
      <c r="U20" s="168">
        <f>F20/(P20/100)</f>
        <v>0.17555555555555555</v>
      </c>
      <c r="V20" s="156">
        <f>K20/(P20/100)</f>
        <v>697.77777777777771</v>
      </c>
      <c r="W20" s="168">
        <f>M20/(P20/100)</f>
        <v>1.3333333333333332E-2</v>
      </c>
      <c r="Y20">
        <f>'[1]Regional Totals'!$D$17</f>
        <v>148.93199999999999</v>
      </c>
      <c r="Z20">
        <f>'[1]Regulated Totals'!$B$20</f>
        <v>41.417000000000002</v>
      </c>
      <c r="AA20">
        <f t="shared" si="3"/>
        <v>107.51499999999999</v>
      </c>
    </row>
    <row r="21" spans="1:34" ht="30.6" customHeight="1" x14ac:dyDescent="0.45">
      <c r="A21" s="70" t="s">
        <v>100</v>
      </c>
      <c r="B21" s="69" t="s">
        <v>249</v>
      </c>
      <c r="C21" s="70">
        <v>20</v>
      </c>
      <c r="D21" s="156">
        <v>6281</v>
      </c>
      <c r="E21" s="70" t="s">
        <v>240</v>
      </c>
      <c r="F21" s="95">
        <f>7.9/100</f>
        <v>7.9000000000000001E-2</v>
      </c>
      <c r="G21" s="95">
        <f t="shared" si="4"/>
        <v>4.0999999999999995E-2</v>
      </c>
      <c r="H21" s="95"/>
      <c r="I21" s="95"/>
      <c r="J21" s="167" t="e">
        <f t="shared" si="0"/>
        <v>#DIV/0!</v>
      </c>
      <c r="K21" s="156">
        <v>314</v>
      </c>
      <c r="L21" s="70" t="s">
        <v>241</v>
      </c>
      <c r="M21" s="95"/>
      <c r="N21" s="95"/>
      <c r="O21" s="95">
        <v>10</v>
      </c>
      <c r="P21" s="151">
        <v>10</v>
      </c>
      <c r="Q21" s="95">
        <v>50</v>
      </c>
      <c r="R21" s="156">
        <f t="shared" si="1"/>
        <v>62810</v>
      </c>
      <c r="S21" s="156">
        <f>D21/(P21/100)</f>
        <v>62810</v>
      </c>
      <c r="T21" s="156">
        <f t="shared" si="2"/>
        <v>12562</v>
      </c>
      <c r="U21" s="168">
        <f>F21/(P21/100)</f>
        <v>0.78999999999999992</v>
      </c>
      <c r="V21" s="156">
        <f>K21/(P21/100)</f>
        <v>3140</v>
      </c>
      <c r="W21" s="168">
        <f>M21/(P21/100)</f>
        <v>0</v>
      </c>
      <c r="Y21">
        <v>0</v>
      </c>
      <c r="Z21">
        <v>0</v>
      </c>
      <c r="AA21">
        <f t="shared" si="3"/>
        <v>0</v>
      </c>
    </row>
    <row r="22" spans="1:34" ht="30.6" customHeight="1" x14ac:dyDescent="0.45">
      <c r="A22" s="70" t="s">
        <v>100</v>
      </c>
      <c r="B22" s="69" t="s">
        <v>137</v>
      </c>
      <c r="C22" s="70">
        <v>50</v>
      </c>
      <c r="D22" s="156">
        <v>5682</v>
      </c>
      <c r="E22" s="70" t="s">
        <v>240</v>
      </c>
      <c r="F22" s="95">
        <f>7.2/100</f>
        <v>7.2000000000000008E-2</v>
      </c>
      <c r="G22" s="95">
        <f t="shared" si="4"/>
        <v>4.0999999999999995E-2</v>
      </c>
      <c r="H22" s="95"/>
      <c r="I22" s="95"/>
      <c r="J22" s="167" t="e">
        <f t="shared" si="0"/>
        <v>#DIV/0!</v>
      </c>
      <c r="K22" s="156">
        <v>106</v>
      </c>
      <c r="L22" s="70" t="s">
        <v>241</v>
      </c>
      <c r="M22" s="95">
        <f>0.2/100</f>
        <v>2E-3</v>
      </c>
      <c r="N22" s="95">
        <f>0.2/100</f>
        <v>2E-3</v>
      </c>
      <c r="O22" s="95">
        <v>20</v>
      </c>
      <c r="P22" s="151">
        <v>45</v>
      </c>
      <c r="Q22" s="95">
        <v>60</v>
      </c>
      <c r="R22" s="156">
        <f t="shared" si="1"/>
        <v>28410</v>
      </c>
      <c r="S22" s="156">
        <f>D22/(P22/100)</f>
        <v>12626.666666666666</v>
      </c>
      <c r="T22" s="156">
        <f t="shared" si="2"/>
        <v>9470</v>
      </c>
      <c r="U22" s="168">
        <f>F22/(P22/100)</f>
        <v>0.16</v>
      </c>
      <c r="V22" s="156">
        <f>K22/(P22/100)</f>
        <v>235.55555555555554</v>
      </c>
      <c r="W22" s="168">
        <f>M22/(P22/100)</f>
        <v>4.4444444444444444E-3</v>
      </c>
      <c r="Y22">
        <f>'[1]Regional Totals'!$D$18</f>
        <v>9524.3310000000019</v>
      </c>
      <c r="Z22">
        <f>'[1]Regulated Totals'!$B$21</f>
        <v>1779.8820000000001</v>
      </c>
      <c r="AA22">
        <f>Y22-Z22</f>
        <v>7744.4490000000023</v>
      </c>
      <c r="AB22">
        <f>'[1]Weet Ponds and Wetlands'!$D$1+'[1]Weet Ponds and Wetlands'!$D$2+'[1]Weet Ponds and Wetlands'!$D$3</f>
        <v>735.03499999999997</v>
      </c>
      <c r="AC22">
        <f>'[1]Weet Ponds and Wetlands'!$D$4+'[1]Weet Ponds and Wetlands'!$D$5+'[1]Weet Ponds and Wetlands'!$D$6</f>
        <v>2376.7939999999999</v>
      </c>
      <c r="AD22">
        <f>'[1]Weet Ponds and Wetlands'!$D$7+'[1]Weet Ponds and Wetlands'!$D$8</f>
        <v>1450.1020000000001</v>
      </c>
      <c r="AE22">
        <f>'[1]Weet Ponds and Wetlands'!$D$15+'[1]Weet Ponds and Wetlands'!$D$16</f>
        <v>2282.6970000000001</v>
      </c>
      <c r="AF22">
        <f>'[1]Weet Ponds and Wetlands'!$D$9+'[1]Weet Ponds and Wetlands'!$D$10</f>
        <v>1405.652</v>
      </c>
      <c r="AG22">
        <f>'[1]Weet Ponds and Wetlands'!$D$11+'[1]Weet Ponds and Wetlands'!$D$12+'[1]Weet Ponds and Wetlands'!$D$13+'[1]Weet Ponds and Wetlands'!$D$14</f>
        <v>661.08699999999999</v>
      </c>
      <c r="AH22">
        <f>'[1]Weet Ponds and Wetlands'!$D$17</f>
        <v>612.96400000000006</v>
      </c>
    </row>
    <row r="23" spans="1:34" ht="30.6" customHeight="1" x14ac:dyDescent="0.45">
      <c r="AB23">
        <f>SUM(AB22:AH22)</f>
        <v>9524.3309999999983</v>
      </c>
    </row>
  </sheetData>
  <sortState ref="A5:W24">
    <sortCondition ref="B5:B24"/>
  </sortState>
  <mergeCells count="9">
    <mergeCell ref="O1:Q1"/>
    <mergeCell ref="S1:X1"/>
    <mergeCell ref="L1:L2"/>
    <mergeCell ref="A1:A2"/>
    <mergeCell ref="B1:B2"/>
    <mergeCell ref="C1:C2"/>
    <mergeCell ref="D1:D2"/>
    <mergeCell ref="E1:E2"/>
    <mergeCell ref="K1:K2"/>
  </mergeCells>
  <conditionalFormatting sqref="S3:S22">
    <cfRule type="colorScale" priority="4">
      <colorScale>
        <cfvo type="min"/>
        <cfvo type="percentile" val="50"/>
        <cfvo type="max"/>
        <color rgb="FF63BE7B"/>
        <color rgb="FFFFEB84"/>
        <color rgb="FFF8696B"/>
      </colorScale>
    </cfRule>
  </conditionalFormatting>
  <conditionalFormatting sqref="U3:U22">
    <cfRule type="colorScale" priority="3">
      <colorScale>
        <cfvo type="min"/>
        <cfvo type="percentile" val="50"/>
        <cfvo type="max"/>
        <color rgb="FF63BE7B"/>
        <color rgb="FFFFEB84"/>
        <color rgb="FFF8696B"/>
      </colorScale>
    </cfRule>
  </conditionalFormatting>
  <conditionalFormatting sqref="V3:V22">
    <cfRule type="colorScale" priority="2">
      <colorScale>
        <cfvo type="min"/>
        <cfvo type="percentile" val="50"/>
        <cfvo type="max"/>
        <color rgb="FF63BE7B"/>
        <color rgb="FFFFEB84"/>
        <color rgb="FFF8696B"/>
      </colorScale>
    </cfRule>
  </conditionalFormatting>
  <conditionalFormatting sqref="W3:W22">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vt:i4>
      </vt:variant>
    </vt:vector>
  </HeadingPairs>
  <TitlesOfParts>
    <vt:vector size="30" baseType="lpstr">
      <vt:lpstr>Overview</vt:lpstr>
      <vt:lpstr>O&amp;M Dashboard #1</vt:lpstr>
      <vt:lpstr>O&amp;M Dashboard #2</vt:lpstr>
      <vt:lpstr>O&amp;M Dashboard #3</vt:lpstr>
      <vt:lpstr>VLookup</vt:lpstr>
      <vt:lpstr>Sheet5</vt:lpstr>
      <vt:lpstr>Labor Data by Jurisdiction</vt:lpstr>
      <vt:lpstr>Regional Staffing Costs</vt:lpstr>
      <vt:lpstr>IMPLAN by BMP</vt:lpstr>
      <vt:lpstr>Master Cost to Industries</vt:lpstr>
      <vt:lpstr>Region Run</vt:lpstr>
      <vt:lpstr>County WIP Input to IMPLAN</vt:lpstr>
      <vt:lpstr>Shen Urban WIP by Industries</vt:lpstr>
      <vt:lpstr>Page Urban WIP by Industrie (2</vt:lpstr>
      <vt:lpstr>Opequon TMDL by Industries</vt:lpstr>
      <vt:lpstr>Opequon total TMDL Budget</vt:lpstr>
      <vt:lpstr>EFC Industry Matrix</vt:lpstr>
      <vt:lpstr>Sheet4</vt:lpstr>
      <vt:lpstr>Sheet3</vt:lpstr>
      <vt:lpstr>SW v Total</vt:lpstr>
      <vt:lpstr>SW BMP Short Name</vt:lpstr>
      <vt:lpstr>LanduseBmps</vt:lpstr>
      <vt:lpstr>AnimalBmps</vt:lpstr>
      <vt:lpstr>SepticBmps</vt:lpstr>
      <vt:lpstr>ManureTransport</vt:lpstr>
      <vt:lpstr>'Labor Data by Jurisdiction'!Print_Area</vt:lpstr>
      <vt:lpstr>'Opequon TMDL by Industries'!Print_Area</vt:lpstr>
      <vt:lpstr>'Page Urban WIP by Industrie (2'!Print_Area</vt:lpstr>
      <vt:lpstr>Sheet3!Print_Area</vt:lpstr>
      <vt:lpstr>'Shen Urban WIP by Industries'!Print_Area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Reed</dc:creator>
  <cp:lastModifiedBy>Jennifer Anne Cotting</cp:lastModifiedBy>
  <cp:lastPrinted>2014-12-09T16:14:12Z</cp:lastPrinted>
  <dcterms:created xsi:type="dcterms:W3CDTF">2014-06-26T19:16:55Z</dcterms:created>
  <dcterms:modified xsi:type="dcterms:W3CDTF">2017-05-04T15:23:56Z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3" name="PriorMapLocation">
    <vt:lpwstr>1Set2jh5Jw4elU2PPoGKHvcvzumfxFPbHIuhbuJMhLjnfLTfON8J/Ye95xpJpw92aaWAk2/ZLWGEpKYsye/kp3Ju4yUsLU5KCZY2t+t2kDTU=</vt:lpwstr>
  </property>
  <property fmtid="{D5CDD505-2E9C-101B-9397-08002B2CF9AE}" pid="4" name="MAPCITE Version">
    <vt:lpwstr>Version 1.3.1.4</vt:lpwstr>
  </property>
</Properties>
</file>